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全体ホーム" sheetId="1" state="visible" r:id="rId1"/>
    <sheet name="02_案件マスター" sheetId="2" state="visible" r:id="rId2"/>
    <sheet name="03_工程入力" sheetId="3" state="visible" r:id="rId3"/>
    <sheet name="04_日別ガント" sheetId="4" state="visible" r:id="rId4"/>
    <sheet name="05_週別ガント" sheetId="5" state="visible" r:id="rId5"/>
    <sheet name="06_当日時間割" sheetId="6" state="visible" r:id="rId6"/>
    <sheet name="07_設定" sheetId="7" state="visible" r:id="rId7"/>
    <sheet name="08_使い方" sheetId="8" state="visible" r:id="rId8"/>
  </sheets>
  <definedNames>
    <definedName name="RefDateInput">'07_設定'!$C$5</definedName>
    <definedName name="RefDate">'07_設定'!$C$6</definedName>
    <definedName name="GanttStart">'07_設定'!$C$8</definedName>
    <definedName name="WeekStart">'07_設定'!$C$10</definedName>
    <definedName name="TTDate">'07_設定'!$C$12</definedName>
    <definedName name="TTStep">'07_設定'!$C$13</definedName>
    <definedName name="TTStart">'07_設定'!$C$14</definedName>
    <definedName name="TTEnd">'07_設定'!$C$15</definedName>
    <definedName name="DefStart">'07_設定'!$C$16</definedName>
    <definedName name="DefEnd">'07_設定'!$C$17</definedName>
    <definedName name="DueWarnDays">'07_設定'!$C$18</definedName>
    <definedName name="lst_Staff">'07_設定'!$F$5:$F$24</definedName>
    <definedName name="lst_Holidays">'07_設定'!$H$5:$H$34</definedName>
    <definedName name="lst_StepStatus">'07_設定'!$K$5:$K$9</definedName>
    <definedName name="lst_ProjStatus">'07_設定'!$M$5:$M$9</definedName>
    <definedName name="dv_Staff">'07_設定'!$F$5:INDEX('07_設定'!$F$5:$F$24,MAX(1,COUNTIF('07_設定'!$F$5:$F$24,"?*")))</definedName>
    <definedName name="dv_StepStatus">'07_設定'!$K$5:INDEX('07_設定'!$K$5:$K$9,MAX(1,COUNTIF('07_設定'!$K$5:$K$9,"?*")))</definedName>
    <definedName name="dv_ProjStatus">'07_設定'!$M$5:INDEX('07_設定'!$M$5:$M$9,MAX(1,COUNTIF('07_設定'!$M$5:$M$9,"?*")))</definedName>
    <definedName name="dv_StaffAll">'07_設定'!$O$5:INDEX('07_設定'!$O$5:$O$25,MAX(1,COUNTIF('07_設定'!$O$5:$O$25,"?*")))</definedName>
    <definedName name="dv_ProjAll">'07_設定'!$Q$5:INDEX('07_設定'!$Q$5:$Q$55,MAX(1,COUNTIF('07_設定'!$Q$5:$Q$55,"?*")))</definedName>
    <definedName name="dv_ProjID">'02_案件マスター'!$A$6:INDEX('02_案件マスター'!$A$6:$A$2000,MAX(1,COUNTIF('02_案件マスター'!$A$6:$A$2000,"?*")))</definedName>
    <definedName name="DayStaff">'04_日別ガント'!$C$3</definedName>
    <definedName name="DayProj">'04_日別ガント'!$E$3</definedName>
    <definedName name="WeekStaff">'05_週別ガント'!$C$3</definedName>
    <definedName name="WeekProj">'05_週別ガント'!$E$3</definedName>
    <definedName name="TTStaff">'06_当日時間割'!$C$3</definedName>
    <definedName name="TTProj">'06_当日時間割'!$E$3</definedName>
    <definedName name="_xlnm.Print_Titles" localSheetId="0">'01_全体ホーム'!$1:$1</definedName>
    <definedName name="_xlnm.Print_Area" localSheetId="0">'01_全体ホーム'!$A$1:$Q$58</definedName>
    <definedName name="_xlnm.Print_Titles" localSheetId="1">'02_案件マスター'!$5:$5</definedName>
    <definedName name="_xlnm.Print_Area" localSheetId="1">'02_案件マスター'!$A$1:$Q$10</definedName>
    <definedName name="_xlnm.Print_Titles" localSheetId="2">'03_工程入力'!$5:$5</definedName>
    <definedName name="_xlnm.Print_Area" localSheetId="2">'03_工程入力'!$A$1:$T$35</definedName>
    <definedName name="_xlnm.Print_Titles" localSheetId="3">'04_日別ガント'!$5:$7,'04_日別ガント'!$A:$J</definedName>
    <definedName name="_xlnm.Print_Area" localSheetId="3">'04_日別ガント'!$A$1:$AZ$67</definedName>
    <definedName name="_xlnm.Print_Titles" localSheetId="4">'05_週別ガント'!$5:$7,'05_週別ガント'!$A:$J</definedName>
    <definedName name="_xlnm.Print_Area" localSheetId="4">'05_週別ガント'!$A$1:$W$67</definedName>
    <definedName name="_xlnm.Print_Titles" localSheetId="5">'06_当日時間割'!$5:$7</definedName>
    <definedName name="_xlnm.Print_Area" localSheetId="5">'06_当日時間割'!$A$1:$AD$37</definedName>
    <definedName name="_xlnm.Print_Area" localSheetId="6">'07_設定'!$A$1:$Q$34</definedName>
    <definedName name="_xlnm.Print_Titles" localSheetId="7">'08_使い方'!$1:$1</definedName>
    <definedName name="_xlnm.Print_Area" localSheetId="7">'08_使い方'!$A$1:$B$52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yyyy-mm-dd"/>
    <numFmt numFmtId="165" formatCode="yyyy/mm/dd"/>
    <numFmt numFmtId="166" formatCode="yyyy/mm/dd(aaa)"/>
    <numFmt numFmtId="167" formatCode="0&quot;日&quot;"/>
    <numFmt numFmtId="168" formatCode="0&quot;日&quot;;[Red]-0&quot;日&quot;"/>
    <numFmt numFmtId="169" formatCode="0.0"/>
    <numFmt numFmtId="170" formatCode="d"/>
    <numFmt numFmtId="171" formatCode="m/d"/>
    <numFmt numFmtId="172" formatCode="&quot;〜&quot;m/d"/>
    <numFmt numFmtId="173" formatCode="m/d h:mm"/>
    <numFmt numFmtId="174" formatCode="0&quot;件&quot;"/>
    <numFmt numFmtId="175" formatCode="m/d(aaa)"/>
  </numFmts>
  <fonts count="39">
    <font>
      <name val="游ゴシック"/>
      <sz val="11"/>
    </font>
    <font>
      <name val="游ゴシック"/>
      <sz val="11"/>
    </font>
    <font>
      <name val="游ゴシック"/>
      <b val="1"/>
      <color rgb="00FFFFFF"/>
      <sz val="16"/>
    </font>
    <font>
      <name val="游ゴシック"/>
      <b val="1"/>
      <color rgb="000A1B36"/>
      <sz val="10"/>
    </font>
    <font>
      <name val="游ゴシック"/>
      <b val="1"/>
      <color rgb="000A1B36"/>
      <sz val="10"/>
      <u val="single"/>
    </font>
    <font>
      <name val="游ゴシック"/>
      <color rgb="005B6678"/>
      <sz val="10"/>
    </font>
    <font>
      <name val="游ゴシック"/>
      <b val="1"/>
      <color rgb="000A1B36"/>
      <sz val="12"/>
    </font>
    <font>
      <name val="游ゴシック"/>
      <b val="1"/>
      <color rgb="001F2A3C"/>
      <sz val="10.5"/>
    </font>
    <font>
      <name val="游ゴシック"/>
      <b val="1"/>
      <color rgb="001F2A3C"/>
      <sz val="11"/>
    </font>
    <font>
      <name val="游ゴシック"/>
      <color rgb="005B6678"/>
      <sz val="9.5"/>
    </font>
    <font>
      <name val="游ゴシック"/>
      <b val="1"/>
      <color rgb="00FFFFFF"/>
      <sz val="9.5"/>
    </font>
    <font>
      <name val="游ゴシック"/>
      <color rgb="001F2A3C"/>
      <sz val="10"/>
    </font>
    <font>
      <name val="游ゴシック"/>
      <b val="1"/>
      <color rgb="005B6678"/>
      <sz val="9"/>
    </font>
    <font>
      <name val="游ゴシック"/>
      <color rgb="001F2A3C"/>
      <sz val="9"/>
    </font>
    <font>
      <name val="游ゴシック"/>
      <color rgb="005B6678"/>
      <sz val="9"/>
    </font>
    <font>
      <name val="游ゴシック"/>
      <color rgb="007A5A00"/>
      <sz val="9"/>
    </font>
    <font>
      <name val="游ゴシック"/>
      <color rgb="00A12622"/>
      <sz val="9"/>
    </font>
    <font>
      <name val="游ゴシック"/>
      <b val="1"/>
      <color rgb="005B6678"/>
      <sz val="9.5"/>
    </font>
    <font>
      <name val="游ゴシック"/>
      <b val="1"/>
      <color rgb="000A1B36"/>
      <sz val="11"/>
    </font>
    <font>
      <name val="游ゴシック"/>
      <b val="1"/>
      <color rgb="00FFFFFF"/>
      <sz val="10"/>
    </font>
    <font>
      <name val="游ゴシック"/>
      <b val="1"/>
      <color rgb="005B6678"/>
      <sz val="10"/>
    </font>
    <font>
      <name val="游ゴシック"/>
      <color rgb="002F6BDB"/>
      <sz val="9.5"/>
      <u val="single"/>
    </font>
    <font>
      <name val="游ゴシック"/>
      <b val="1"/>
      <color rgb="000A1B36"/>
      <sz val="9.5"/>
    </font>
    <font>
      <name val="游ゴシック"/>
      <b val="1"/>
      <color rgb="000A1B36"/>
      <sz val="8.5"/>
    </font>
    <font>
      <name val="游ゴシック"/>
      <b val="1"/>
      <color rgb="00FFFFFF"/>
      <sz val="8.5"/>
    </font>
    <font>
      <name val="游ゴシック"/>
      <b val="1"/>
      <color rgb="00C0392B"/>
      <sz val="8.5"/>
    </font>
    <font>
      <name val="游ゴシック"/>
      <b val="1"/>
      <color rgb="005B6678"/>
      <sz val="8.5"/>
    </font>
    <font>
      <name val="游ゴシック"/>
      <color rgb="005B6678"/>
      <sz val="8.5"/>
    </font>
    <font>
      <name val="游ゴシック"/>
      <b val="1"/>
      <color rgb="00FFFFFF"/>
      <sz val="8"/>
    </font>
    <font>
      <name val="游ゴシック"/>
      <b val="1"/>
      <color rgb="000A1B36"/>
      <sz val="9"/>
    </font>
    <font>
      <name val="游ゴシック"/>
      <b val="1"/>
      <color rgb="000A1B36"/>
      <sz val="8"/>
    </font>
    <font>
      <name val="游ゴシック"/>
      <color rgb="00EFF3F9"/>
      <sz val="6"/>
    </font>
    <font>
      <name val="游ゴシック"/>
      <b val="1"/>
      <color rgb="002F6BDB"/>
      <sz val="10"/>
      <u val="single"/>
    </font>
    <font>
      <name val="游ゴシック"/>
      <b val="1"/>
      <color rgb="000A1B36"/>
      <sz val="22"/>
    </font>
    <font>
      <name val="游ゴシック"/>
      <b val="1"/>
      <color rgb="00FFFFFF"/>
      <sz val="11"/>
    </font>
    <font>
      <name val="游ゴシック"/>
      <b val="1"/>
      <color rgb="00C9F45F"/>
      <sz val="10"/>
    </font>
    <font>
      <name val="游ゴシック"/>
      <b val="1"/>
      <color rgb="00A12622"/>
      <sz val="9.5"/>
    </font>
    <font>
      <name val="游ゴシック"/>
      <b val="1"/>
      <color rgb="000A1B36"/>
      <sz val="12.5"/>
    </font>
    <font>
      <name val="游ゴシック"/>
      <color rgb="001F2A3C"/>
      <sz val="10.5"/>
    </font>
  </fonts>
  <fills count="18">
    <fill>
      <patternFill/>
    </fill>
    <fill>
      <patternFill patternType="gray125"/>
    </fill>
    <fill>
      <patternFill patternType="solid">
        <fgColor rgb="000A1B36"/>
        <bgColor rgb="000A1B36"/>
      </patternFill>
    </fill>
    <fill>
      <patternFill patternType="solid">
        <fgColor rgb="00C9F45F"/>
        <bgColor rgb="00C9F45F"/>
      </patternFill>
    </fill>
    <fill>
      <patternFill patternType="solid">
        <fgColor rgb="00EFF3F9"/>
        <bgColor rgb="00EFF3F9"/>
      </patternFill>
    </fill>
    <fill>
      <patternFill patternType="solid">
        <fgColor rgb="00EEF2F8"/>
        <bgColor rgb="00EEF2F8"/>
      </patternFill>
    </fill>
    <fill>
      <patternFill patternType="solid">
        <fgColor rgb="004A5D7A"/>
        <bgColor rgb="004A5D7A"/>
      </patternFill>
    </fill>
    <fill>
      <patternFill patternType="solid">
        <fgColor rgb="00FFFFFF"/>
        <bgColor rgb="00FFFFFF"/>
      </patternFill>
    </fill>
    <fill>
      <patternFill patternType="solid">
        <fgColor rgb="00F4F5F7"/>
        <bgColor rgb="00F4F5F7"/>
      </patternFill>
    </fill>
    <fill>
      <patternFill patternType="solid">
        <fgColor rgb="00FFF4CC"/>
        <bgColor rgb="00FFF4CC"/>
      </patternFill>
    </fill>
    <fill>
      <patternFill patternType="solid">
        <fgColor rgb="00FDE2E1"/>
        <bgColor rgb="00FDE2E1"/>
      </patternFill>
    </fill>
    <fill>
      <patternFill patternType="solid">
        <fgColor rgb="008A94A6"/>
        <bgColor rgb="008A94A6"/>
      </patternFill>
    </fill>
    <fill>
      <patternFill patternType="solid">
        <fgColor rgb="00BFD3F6"/>
        <bgColor rgb="00BFD3F6"/>
      </patternFill>
    </fill>
    <fill>
      <patternFill patternType="solid">
        <fgColor rgb="002F6BDB"/>
        <bgColor rgb="002F6BDB"/>
      </patternFill>
    </fill>
    <fill>
      <patternFill patternType="solid">
        <fgColor rgb="00E8913A"/>
        <bgColor rgb="00E8913A"/>
      </patternFill>
    </fill>
    <fill>
      <patternFill patternType="solid">
        <fgColor rgb="00F4B6AE"/>
        <bgColor rgb="00F4B6AE"/>
      </patternFill>
    </fill>
    <fill>
      <patternFill patternType="solid">
        <fgColor rgb="00F2F3F5"/>
        <bgColor rgb="00F2F3F5"/>
      </patternFill>
    </fill>
    <fill>
      <patternFill patternType="solid">
        <fgColor rgb="00D9534F"/>
        <bgColor rgb="00D9534F"/>
      </patternFill>
    </fill>
  </fills>
  <borders count="24">
    <border>
      <left/>
      <right/>
      <top/>
      <bottom/>
      <diagonal/>
    </border>
    <border>
      <bottom style="medium">
        <color rgb="00C9F45F"/>
      </bottom>
    </border>
    <border>
      <left style="thin">
        <color rgb="00C5CFDD"/>
      </left>
      <right style="thin">
        <color rgb="00C5CFDD"/>
      </right>
      <top style="thin">
        <color rgb="00C5CFDD"/>
      </top>
      <bottom style="thin">
        <color rgb="00C5CFDD"/>
      </bottom>
    </border>
    <border>
      <left style="thin">
        <color rgb="00FFFFFF"/>
      </left>
      <right style="thin">
        <color rgb="00FFFFFF"/>
      </right>
    </border>
    <border>
      <left style="medium">
        <color rgb="002F6BDB"/>
      </left>
      <right style="medium">
        <color rgb="002F6BDB"/>
      </right>
      <top style="medium">
        <color rgb="002F6BDB"/>
      </top>
      <bottom style="medium">
        <color rgb="002F6BDB"/>
      </bottom>
    </border>
    <border>
      <left/>
      <right/>
      <top style="medium">
        <color rgb="002F6BDB"/>
      </top>
      <bottom/>
      <diagonal/>
    </border>
    <border>
      <left/>
      <right style="medium">
        <color rgb="002F6BDB"/>
      </right>
      <top style="medium">
        <color rgb="002F6BDB"/>
      </top>
      <bottom/>
      <diagonal/>
    </border>
    <border>
      <left/>
      <right style="medium">
        <color rgb="002F6BDB"/>
      </right>
      <top style="medium">
        <color rgb="002F6BDB"/>
      </top>
      <bottom style="medium">
        <color rgb="002F6BDB"/>
      </bottom>
      <diagonal/>
    </border>
    <border>
      <bottom style="hair">
        <color rgb="00C5CFDD"/>
      </bottom>
    </border>
    <border>
      <right style="thin">
        <color rgb="00C5CFDD"/>
      </right>
      <bottom style="hair">
        <color rgb="00C5CFDD"/>
      </bottom>
    </border>
    <border>
      <left style="hair">
        <color rgb="00E3E7EE"/>
      </left>
      <bottom style="hair">
        <color rgb="00C5CFDD"/>
      </bottom>
    </border>
    <border>
      <left style="thin">
        <color rgb="00C5CFDD"/>
      </left>
      <top style="medium">
        <color rgb="000A1B36"/>
      </top>
    </border>
    <border>
      <right style="thin">
        <color rgb="00C5CFDD"/>
      </right>
      <top style="medium">
        <color rgb="000A1B36"/>
      </top>
    </border>
    <border>
      <left style="thin">
        <color rgb="00C5CFDD"/>
      </left>
    </border>
    <border>
      <right style="thin">
        <color rgb="00C5CFDD"/>
      </right>
    </border>
    <border>
      <left style="thin">
        <color rgb="00C5CFDD"/>
      </left>
      <bottom style="thin">
        <color rgb="00C5CFDD"/>
      </bottom>
    </border>
    <border>
      <right style="thin">
        <color rgb="00C5CFDD"/>
      </right>
      <bottom style="thin">
        <color rgb="00C5CFDD"/>
      </bottom>
    </border>
    <border>
      <left style="thin">
        <color rgb="00C5CFDD"/>
      </left>
      <top style="medium">
        <color rgb="007FA800"/>
      </top>
    </border>
    <border>
      <right style="thin">
        <color rgb="00C5CFDD"/>
      </right>
      <top style="medium">
        <color rgb="007FA800"/>
      </top>
    </border>
    <border>
      <left style="thin">
        <color rgb="00C5CFDD"/>
      </left>
      <top style="medium">
        <color rgb="00A12622"/>
      </top>
    </border>
    <border>
      <right style="thin">
        <color rgb="00C5CFDD"/>
      </right>
      <top style="medium">
        <color rgb="00A12622"/>
      </top>
    </border>
    <border>
      <left style="thin">
        <color rgb="00C5CFDD"/>
      </left>
      <top style="medium">
        <color rgb="00C9A100"/>
      </top>
    </border>
    <border>
      <right style="thin">
        <color rgb="00C5CFDD"/>
      </right>
      <top style="medium">
        <color rgb="00C9A100"/>
      </top>
    </border>
    <border>
      <bottom style="thin">
        <color rgb="000A1B36"/>
      </bottom>
    </border>
  </borders>
  <cellStyleXfs count="1">
    <xf numFmtId="0" fontId="1" fillId="0" borderId="0"/>
  </cellStyleXfs>
  <cellXfs count="120">
    <xf numFmtId="0" fontId="0" fillId="0" borderId="0" pivotButton="0" quotePrefix="0" xfId="0"/>
    <xf numFmtId="0" fontId="2" fillId="2" borderId="0" applyAlignment="1" pivotButton="0" quotePrefix="0" xfId="0">
      <alignment vertical="center" indent="1"/>
    </xf>
    <xf numFmtId="0" fontId="0" fillId="2" borderId="0" pivotButton="0" quotePrefix="0" xfId="0"/>
    <xf numFmtId="0" fontId="3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indent="1"/>
    </xf>
    <xf numFmtId="0" fontId="32" fillId="4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 vertical="center"/>
    </xf>
    <xf numFmtId="166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indent="1"/>
    </xf>
    <xf numFmtId="0" fontId="14" fillId="0" borderId="0" applyAlignment="1" pivotButton="0" quotePrefix="0" xfId="0">
      <alignment vertical="center" wrapText="1" indent="1"/>
    </xf>
    <xf numFmtId="0" fontId="20" fillId="0" borderId="11" applyAlignment="1" pivotButton="0" quotePrefix="0" xfId="0">
      <alignment horizontal="center" vertical="bottom"/>
    </xf>
    <xf numFmtId="0" fontId="0" fillId="0" borderId="12" pivotButton="0" quotePrefix="0" xfId="0"/>
    <xf numFmtId="0" fontId="20" fillId="0" borderId="17" applyAlignment="1" pivotButton="0" quotePrefix="0" xfId="0">
      <alignment horizontal="center" vertical="bottom"/>
    </xf>
    <xf numFmtId="0" fontId="0" fillId="0" borderId="18" pivotButton="0" quotePrefix="0" xfId="0"/>
    <xf numFmtId="0" fontId="20" fillId="0" borderId="19" applyAlignment="1" pivotButton="0" quotePrefix="0" xfId="0">
      <alignment horizontal="center" vertical="bottom"/>
    </xf>
    <xf numFmtId="0" fontId="0" fillId="0" borderId="20" pivotButton="0" quotePrefix="0" xfId="0"/>
    <xf numFmtId="0" fontId="20" fillId="0" borderId="21" applyAlignment="1" pivotButton="0" quotePrefix="0" xfId="0">
      <alignment horizontal="center" vertical="bottom"/>
    </xf>
    <xf numFmtId="0" fontId="0" fillId="0" borderId="22" pivotButton="0" quotePrefix="0" xfId="0"/>
    <xf numFmtId="174" fontId="33" fillId="0" borderId="13" applyAlignment="1" pivotButton="0" quotePrefix="0" xfId="0">
      <alignment horizontal="center" vertical="center"/>
    </xf>
    <xf numFmtId="0" fontId="0" fillId="0" borderId="14" pivotButton="0" quotePrefix="0" xfId="0"/>
    <xf numFmtId="0" fontId="27" fillId="0" borderId="15" applyAlignment="1" pivotButton="0" quotePrefix="0" xfId="0">
      <alignment horizontal="center" vertical="top" wrapText="1"/>
    </xf>
    <xf numFmtId="0" fontId="0" fillId="0" borderId="16" pivotButton="0" quotePrefix="0" xfId="0"/>
    <xf numFmtId="0" fontId="34" fillId="2" borderId="0" applyAlignment="1" pivotButton="0" quotePrefix="0" xfId="0">
      <alignment vertical="center" indent="1"/>
    </xf>
    <xf numFmtId="0" fontId="35" fillId="2" borderId="0" applyAlignment="1" pivotButton="0" quotePrefix="0" xfId="0">
      <alignment horizontal="right" vertical="center" indent="1"/>
    </xf>
    <xf numFmtId="0" fontId="22" fillId="4" borderId="23" applyAlignment="1" pivotButton="0" quotePrefix="0" xfId="0">
      <alignment horizontal="center" vertical="center"/>
    </xf>
    <xf numFmtId="0" fontId="0" fillId="4" borderId="23" pivotButton="0" quotePrefix="0" xfId="0"/>
    <xf numFmtId="0" fontId="11" fillId="0" borderId="8" applyAlignment="1" pivotButton="0" quotePrefix="0" xfId="0">
      <alignment horizontal="left" vertical="center" wrapText="1"/>
    </xf>
    <xf numFmtId="0" fontId="0" fillId="0" borderId="8" pivotButton="0" quotePrefix="0" xfId="0"/>
    <xf numFmtId="0" fontId="11" fillId="0" borderId="8" applyAlignment="1" pivotButton="0" quotePrefix="0" xfId="0">
      <alignment horizontal="center" vertical="center" wrapText="1"/>
    </xf>
    <xf numFmtId="175" fontId="11" fillId="0" borderId="8" applyAlignment="1" pivotButton="0" quotePrefix="0" xfId="0">
      <alignment horizontal="center" vertical="center" wrapText="1"/>
    </xf>
    <xf numFmtId="168" fontId="11" fillId="0" borderId="8" applyAlignment="1" pivotButton="0" quotePrefix="0" xfId="0">
      <alignment horizontal="center" vertical="center" wrapText="1"/>
    </xf>
    <xf numFmtId="9" fontId="11" fillId="0" borderId="8" applyAlignment="1" pivotButton="0" quotePrefix="0" xfId="0">
      <alignment horizontal="center" vertical="center" wrapText="1"/>
    </xf>
    <xf numFmtId="171" fontId="11" fillId="0" borderId="8" applyAlignment="1" pivotButton="0" quotePrefix="0" xfId="0">
      <alignment horizontal="center" vertical="center" wrapText="1"/>
    </xf>
    <xf numFmtId="0" fontId="36" fillId="0" borderId="0" applyAlignment="1" pivotButton="0" quotePrefix="0" xfId="0">
      <alignment vertical="center" indent="1"/>
    </xf>
    <xf numFmtId="167" fontId="11" fillId="0" borderId="8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0" fontId="13" fillId="7" borderId="2" applyAlignment="1" pivotButton="0" quotePrefix="0" xfId="0">
      <alignment horizontal="center" vertical="center"/>
    </xf>
    <xf numFmtId="0" fontId="13" fillId="5" borderId="2" applyAlignment="1" pivotButton="0" quotePrefix="0" xfId="0">
      <alignment horizontal="center" vertical="center"/>
    </xf>
    <xf numFmtId="0" fontId="14" fillId="8" borderId="2" applyAlignment="1" pivotButton="0" quotePrefix="0" xfId="0">
      <alignment horizontal="center" vertical="center"/>
    </xf>
    <xf numFmtId="0" fontId="15" fillId="9" borderId="2" applyAlignment="1" pivotButton="0" quotePrefix="0" xfId="0">
      <alignment horizontal="center" vertical="center"/>
    </xf>
    <xf numFmtId="0" fontId="16" fillId="10" borderId="2" applyAlignment="1" pivotButton="0" quotePrefix="0" xfId="0">
      <alignment horizontal="center" vertical="center"/>
    </xf>
    <xf numFmtId="0" fontId="17" fillId="0" borderId="0" applyAlignment="1" pivotButton="0" quotePrefix="0" xfId="0">
      <alignment horizontal="right" vertical="center"/>
    </xf>
    <xf numFmtId="0" fontId="18" fillId="5" borderId="2" applyAlignment="1" pivotButton="0" quotePrefix="0" xfId="0">
      <alignment horizontal="center" vertical="center"/>
    </xf>
    <xf numFmtId="0" fontId="14" fillId="0" borderId="0" pivotButton="0" quotePrefix="0" xfId="0"/>
    <xf numFmtId="0" fontId="19" fillId="2" borderId="3" applyAlignment="1" pivotButton="0" quotePrefix="0" xfId="0">
      <alignment horizontal="center" vertical="center" wrapText="1"/>
    </xf>
    <xf numFmtId="0" fontId="19" fillId="6" borderId="3" applyAlignment="1" pivotButton="0" quotePrefix="0" xfId="0">
      <alignment horizontal="center" vertical="center" wrapText="1"/>
    </xf>
    <xf numFmtId="0" fontId="19" fillId="11" borderId="3" applyAlignment="1" pivotButton="0" quotePrefix="0" xfId="0">
      <alignment horizontal="center" vertical="center" wrapText="1"/>
    </xf>
    <xf numFmtId="49" fontId="11" fillId="0" borderId="2" applyAlignment="1" pivotButton="0" quotePrefix="0" xfId="0">
      <alignment horizontal="left" vertical="top"/>
    </xf>
    <xf numFmtId="0" fontId="11" fillId="0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left" vertical="top"/>
    </xf>
    <xf numFmtId="165" fontId="11" fillId="0" borderId="2" applyAlignment="1" pivotButton="0" quotePrefix="0" xfId="0">
      <alignment horizontal="center" vertical="top"/>
    </xf>
    <xf numFmtId="0" fontId="11" fillId="5" borderId="2" applyAlignment="1" pivotButton="0" quotePrefix="0" xfId="0">
      <alignment horizontal="left" vertical="top" wrapText="1"/>
    </xf>
    <xf numFmtId="168" fontId="11" fillId="5" borderId="2" applyAlignment="1" pivotButton="0" quotePrefix="0" xfId="0">
      <alignment horizontal="center" vertical="top"/>
    </xf>
    <xf numFmtId="9" fontId="11" fillId="5" borderId="2" applyAlignment="1" pivotButton="0" quotePrefix="0" xfId="0">
      <alignment horizontal="center" vertical="top"/>
    </xf>
    <xf numFmtId="0" fontId="11" fillId="5" borderId="2" applyAlignment="1" pivotButton="0" quotePrefix="0" xfId="0">
      <alignment horizontal="left" vertical="top"/>
    </xf>
    <xf numFmtId="0" fontId="11" fillId="5" borderId="2" applyAlignment="1" pivotButton="0" quotePrefix="0" xfId="0">
      <alignment horizontal="center" vertical="top"/>
    </xf>
    <xf numFmtId="165" fontId="11" fillId="5" borderId="2" applyAlignment="1" pivotButton="0" quotePrefix="0" xfId="0">
      <alignment horizontal="center" vertical="top"/>
    </xf>
    <xf numFmtId="0" fontId="14" fillId="8" borderId="2" applyAlignment="1" pivotButton="0" quotePrefix="0" xfId="0">
      <alignment horizontal="left" vertical="top"/>
    </xf>
    <xf numFmtId="9" fontId="11" fillId="0" borderId="2" applyAlignment="1" pivotButton="0" quotePrefix="0" xfId="0">
      <alignment horizontal="center" vertical="top"/>
    </xf>
    <xf numFmtId="20" fontId="11" fillId="0" borderId="2" applyAlignment="1" pivotButton="0" quotePrefix="0" xfId="0">
      <alignment horizontal="center" vertical="top"/>
    </xf>
    <xf numFmtId="169" fontId="11" fillId="0" borderId="2" applyAlignment="1" pivotButton="0" quotePrefix="0" xfId="0">
      <alignment horizontal="center" vertical="top"/>
    </xf>
    <xf numFmtId="20" fontId="14" fillId="8" borderId="2" applyAlignment="1" pivotButton="0" quotePrefix="0" xfId="0">
      <alignment horizontal="left" vertical="top"/>
    </xf>
    <xf numFmtId="165" fontId="14" fillId="8" borderId="2" applyAlignment="1" pivotButton="0" quotePrefix="0" xfId="0">
      <alignment horizontal="left" vertical="top"/>
    </xf>
    <xf numFmtId="0" fontId="18" fillId="0" borderId="4" applyAlignment="1" applyProtection="1" pivotButton="0" quotePrefix="0" xfId="0">
      <alignment horizontal="center" vertical="center"/>
      <protection locked="0" hidden="0"/>
    </xf>
    <xf numFmtId="0" fontId="0" fillId="0" borderId="7" applyProtection="1" pivotButton="0" quotePrefix="0" xfId="0">
      <protection locked="0" hidden="0"/>
    </xf>
    <xf numFmtId="166" fontId="18" fillId="5" borderId="0" applyAlignment="1" pivotButton="0" quotePrefix="0" xfId="0">
      <alignment horizontal="center" vertical="center"/>
    </xf>
    <xf numFmtId="0" fontId="21" fillId="0" borderId="0" applyAlignment="1" pivotButton="0" quotePrefix="0" xfId="0">
      <alignment vertical="center"/>
    </xf>
    <xf numFmtId="0" fontId="22" fillId="0" borderId="0" applyAlignment="1" pivotButton="0" quotePrefix="0" xfId="0">
      <alignment vertical="center" indent="1"/>
    </xf>
    <xf numFmtId="0" fontId="23" fillId="12" borderId="0" applyAlignment="1" pivotButton="0" quotePrefix="0" xfId="0">
      <alignment horizontal="center" vertical="center"/>
    </xf>
    <xf numFmtId="0" fontId="0" fillId="12" borderId="0" pivotButton="0" quotePrefix="0" xfId="0"/>
    <xf numFmtId="0" fontId="24" fillId="13" borderId="0" applyAlignment="1" pivotButton="0" quotePrefix="0" xfId="0">
      <alignment horizontal="center" vertical="center"/>
    </xf>
    <xf numFmtId="0" fontId="0" fillId="13" borderId="0" pivotButton="0" quotePrefix="0" xfId="0"/>
    <xf numFmtId="0" fontId="24" fillId="14" borderId="0" applyAlignment="1" pivotButton="0" quotePrefix="0" xfId="0">
      <alignment horizontal="center" vertical="center"/>
    </xf>
    <xf numFmtId="0" fontId="0" fillId="14" borderId="0" pivotButton="0" quotePrefix="0" xfId="0"/>
    <xf numFmtId="0" fontId="23" fillId="15" borderId="0" applyAlignment="1" pivotButton="0" quotePrefix="0" xfId="0">
      <alignment horizontal="center" vertical="center"/>
    </xf>
    <xf numFmtId="0" fontId="0" fillId="15" borderId="0" pivotButton="0" quotePrefix="0" xfId="0"/>
    <xf numFmtId="0" fontId="25" fillId="10" borderId="0" applyAlignment="1" pivotButton="0" quotePrefix="0" xfId="0">
      <alignment horizontal="center" vertical="center"/>
    </xf>
    <xf numFmtId="0" fontId="0" fillId="10" borderId="0" pivotButton="0" quotePrefix="0" xfId="0"/>
    <xf numFmtId="0" fontId="23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6" fillId="16" borderId="0" applyAlignment="1" pivotButton="0" quotePrefix="0" xfId="0">
      <alignment horizontal="center" vertical="center"/>
    </xf>
    <xf numFmtId="0" fontId="0" fillId="16" borderId="0" pivotButton="0" quotePrefix="0" xfId="0"/>
    <xf numFmtId="0" fontId="10" fillId="2" borderId="0" applyAlignment="1" pivotButton="0" quotePrefix="0" xfId="0">
      <alignment horizontal="center" vertical="center" wrapText="1"/>
    </xf>
    <xf numFmtId="0" fontId="23" fillId="4" borderId="0" applyAlignment="1" pivotButton="0" quotePrefix="0" xfId="0">
      <alignment horizontal="center" vertical="center"/>
    </xf>
    <xf numFmtId="170" fontId="23" fillId="4" borderId="0" applyAlignment="1" pivotButton="0" quotePrefix="0" xfId="0">
      <alignment horizontal="center" vertical="center"/>
    </xf>
    <xf numFmtId="0" fontId="27" fillId="4" borderId="0" applyAlignment="1" pivotButton="0" quotePrefix="0" xfId="0">
      <alignment horizontal="center" vertical="center"/>
    </xf>
    <xf numFmtId="0" fontId="13" fillId="0" borderId="8" applyAlignment="1" pivotButton="0" quotePrefix="0" xfId="0">
      <alignment horizontal="left" vertical="center"/>
    </xf>
    <xf numFmtId="0" fontId="13" fillId="0" borderId="8" applyAlignment="1" pivotButton="0" quotePrefix="0" xfId="0">
      <alignment horizontal="left" vertical="center" shrinkToFit="1"/>
    </xf>
    <xf numFmtId="0" fontId="13" fillId="0" borderId="8" applyAlignment="1" pivotButton="0" quotePrefix="0" xfId="0">
      <alignment horizontal="center" vertical="center"/>
    </xf>
    <xf numFmtId="9" fontId="13" fillId="0" borderId="8" applyAlignment="1" pivotButton="0" quotePrefix="0" xfId="0">
      <alignment horizontal="center" vertical="center"/>
    </xf>
    <xf numFmtId="171" fontId="13" fillId="0" borderId="8" applyAlignment="1" pivotButton="0" quotePrefix="0" xfId="0">
      <alignment horizontal="center" vertical="center"/>
    </xf>
    <xf numFmtId="0" fontId="13" fillId="0" borderId="9" applyAlignment="1" pivotButton="0" quotePrefix="0" xfId="0">
      <alignment horizontal="left" vertical="center" shrinkToFit="1"/>
    </xf>
    <xf numFmtId="0" fontId="28" fillId="0" borderId="10" applyAlignment="1" pivotButton="0" quotePrefix="0" xfId="0">
      <alignment horizontal="center" vertical="center"/>
    </xf>
    <xf numFmtId="0" fontId="29" fillId="4" borderId="0" applyAlignment="1" pivotButton="0" quotePrefix="0" xfId="0">
      <alignment horizontal="center" vertical="center"/>
    </xf>
    <xf numFmtId="171" fontId="29" fillId="4" borderId="0" applyAlignment="1" pivotButton="0" quotePrefix="0" xfId="0">
      <alignment horizontal="center" vertical="center"/>
    </xf>
    <xf numFmtId="172" fontId="12" fillId="4" borderId="0" applyAlignment="1" pivotButton="0" quotePrefix="0" xfId="0">
      <alignment horizontal="center" vertical="center"/>
    </xf>
    <xf numFmtId="0" fontId="21" fillId="0" borderId="0" pivotButton="0" quotePrefix="0" xfId="0"/>
    <xf numFmtId="0" fontId="24" fillId="17" borderId="0" applyAlignment="1" pivotButton="0" quotePrefix="0" xfId="0">
      <alignment horizontal="center" vertical="center"/>
    </xf>
    <xf numFmtId="0" fontId="0" fillId="17" borderId="0" pivotButton="0" quotePrefix="0" xfId="0"/>
    <xf numFmtId="0" fontId="27" fillId="0" borderId="0" applyAlignment="1" pivotButton="0" quotePrefix="0" xfId="0">
      <alignment vertical="center"/>
    </xf>
    <xf numFmtId="20" fontId="30" fillId="4" borderId="0" applyAlignment="1" pivotButton="0" quotePrefix="0" xfId="0">
      <alignment horizontal="center" vertical="center"/>
    </xf>
    <xf numFmtId="0" fontId="31" fillId="4" borderId="0" pivotButton="0" quotePrefix="0" xfId="0"/>
    <xf numFmtId="173" fontId="13" fillId="0" borderId="8" applyAlignment="1" pivotButton="0" quotePrefix="0" xfId="0">
      <alignment horizontal="center" vertical="center"/>
    </xf>
    <xf numFmtId="0" fontId="6" fillId="0" borderId="1" pivotButton="0" quotePrefix="0" xfId="0"/>
    <xf numFmtId="0" fontId="10" fillId="6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165" fontId="8" fillId="0" borderId="2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  <xf numFmtId="0" fontId="11" fillId="0" borderId="2" pivotButton="0" quotePrefix="0" xfId="0"/>
    <xf numFmtId="166" fontId="11" fillId="0" borderId="2" pivotButton="0" quotePrefix="0" xfId="0"/>
    <xf numFmtId="0" fontId="11" fillId="5" borderId="2" pivotButton="0" quotePrefix="0" xfId="0"/>
    <xf numFmtId="165" fontId="8" fillId="5" borderId="2" applyAlignment="1" pivotButton="0" quotePrefix="0" xfId="0">
      <alignment horizontal="center" vertical="center"/>
    </xf>
    <xf numFmtId="166" fontId="8" fillId="5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2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9" fillId="0" borderId="0" pivotButton="0" quotePrefix="0" xfId="0"/>
    <xf numFmtId="0" fontId="37" fillId="0" borderId="1" pivotButton="0" quotePrefix="0" xfId="0"/>
    <xf numFmtId="0" fontId="38" fillId="0" borderId="0" applyAlignment="1" pivotButton="0" quotePrefix="0" xfId="0">
      <alignment vertical="top" wrapText="1"/>
    </xf>
  </cellXfs>
  <cellStyles count="1">
    <cellStyle name="Normal" xfId="0" builtinId="0" hidden="0"/>
  </cellStyles>
  <dxfs count="16">
    <dxf>
      <font>
        <color rgb="003E5A00"/>
      </font>
      <fill>
        <patternFill patternType="solid">
          <bgColor rgb="00EEF9D6"/>
        </patternFill>
      </fill>
    </dxf>
    <dxf>
      <font>
        <color rgb="00A12622"/>
      </font>
      <fill>
        <patternFill patternType="solid">
          <bgColor rgb="00FDE2E1"/>
        </patternFill>
      </fill>
    </dxf>
    <dxf>
      <font>
        <color rgb="007A5A00"/>
      </font>
      <fill>
        <patternFill patternType="solid">
          <bgColor rgb="00FFF4CC"/>
        </patternFill>
      </fill>
    </dxf>
    <dxf>
      <font>
        <b val="1"/>
        <color rgb="00A12622"/>
      </font>
      <fill>
        <patternFill patternType="solid">
          <bgColor rgb="00FDE2E1"/>
        </patternFill>
      </fill>
    </dxf>
    <dxf>
      <font>
        <color rgb="008A94A6"/>
      </font>
    </dxf>
    <dxf>
      <font>
        <b val="1"/>
        <color rgb="000A1B36"/>
      </font>
      <fill>
        <patternFill patternType="solid">
          <bgColor rgb="00C9F45F"/>
        </patternFill>
      </fill>
    </dxf>
    <dxf>
      <font>
        <color rgb="007A8699"/>
      </font>
      <fill>
        <patternFill patternType="solid">
          <bgColor rgb="00E6E9EE"/>
        </patternFill>
      </fill>
    </dxf>
    <dxf>
      <font>
        <color rgb="00BFD3F6"/>
      </font>
      <fill>
        <patternFill patternType="solid">
          <bgColor rgb="00BFD3F6"/>
        </patternFill>
      </fill>
    </dxf>
    <dxf>
      <font>
        <color rgb="002F6BDB"/>
      </font>
      <fill>
        <patternFill patternType="solid">
          <bgColor rgb="002F6BDB"/>
        </patternFill>
      </fill>
    </dxf>
    <dxf>
      <font>
        <color rgb="00E8913A"/>
      </font>
      <fill>
        <patternFill patternType="solid">
          <bgColor rgb="00E8913A"/>
        </patternFill>
      </fill>
    </dxf>
    <dxf>
      <font>
        <color rgb="00F4B6AE"/>
      </font>
      <fill>
        <patternFill patternType="solid">
          <bgColor rgb="00F4B6AE"/>
        </patternFill>
      </fill>
    </dxf>
    <dxf>
      <font>
        <b val="1"/>
        <color rgb="00C0392B"/>
      </font>
      <fill>
        <patternFill patternType="solid">
          <bgColor rgb="00FDE2E1"/>
        </patternFill>
      </fill>
    </dxf>
    <dxf>
      <fill>
        <patternFill patternType="solid">
          <bgColor rgb="00EEF9D6"/>
        </patternFill>
      </fill>
    </dxf>
    <dxf>
      <fill>
        <patternFill patternType="solid">
          <bgColor rgb="00F2F3F5"/>
        </patternFill>
      </fill>
    </dxf>
    <dxf>
      <border>
        <top style="thin">
          <color rgb="000A1B36"/>
        </top>
      </border>
    </dxf>
    <dxf>
      <font>
        <b val="1"/>
        <color rgb="00FFFFFF"/>
      </font>
      <fill>
        <patternFill patternType="solid">
          <bgColor rgb="00D953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blProjects" displayName="tblProjects" ref="A5:AG10" headerRowCount="1">
  <autoFilter ref="A5:AG10"/>
  <tableColumns count="33">
    <tableColumn id="1" name="案件ID"/>
    <tableColumn id="2" name="顧客ID（任意）"/>
    <tableColumn id="3" name="顧客名"/>
    <tableColumn id="4" name="案件名"/>
    <tableColumn id="5" name="責任者"/>
    <tableColumn id="6" name="顧客納期"/>
    <tableColumn id="7" name="社内目標日"/>
    <tableColumn id="8" name="状態"/>
    <tableColumn id="9" name="納期判定">
      <calculatedColumnFormula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calculatedColumnFormula>
    </tableColumn>
    <tableColumn id="10" name="残日数">
      <calculatedColumnFormula>IF(OR(tblProjects[[#This Row],[案件ID]]="",NOT(ISNUMBER(tblProjects[[#This Row],[顧客納期]]))),"",tblProjects[[#This Row],[顧客納期]]-RefDate)</calculatedColumnFormula>
    </tableColumn>
    <tableColumn id="11" name="今の工程">
      <calculatedColumnFormula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calculatedColumnFormula>
    </tableColumn>
    <tableColumn id="12" name="進捗">
      <calculatedColumnFormula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calculatedColumnFormula>
    </tableColumn>
    <tableColumn id="13" name="集約方式">
      <calculatedColumnFormula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calculatedColumnFormula>
    </tableColumn>
    <tableColumn id="14" name="工程数">
      <calculatedColumnFormula>IF(tblProjects[[#This Row],[案件ID]]="","",COUNTIFS(tblSteps[案件ID],tblProjects[[#This Row],[案件ID]],tblSteps[集計対象],1))</calculatedColumnFormula>
    </tableColumn>
    <tableColumn id="15" name="計画上の完了日">
      <calculatedColumnFormula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calculatedColumnFormula>
    </tableColumn>
    <tableColumn id="16" name="完了見込日">
      <calculatedColumnFormula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calculatedColumnFormula>
    </tableColumn>
    <tableColumn id="17" name="見込の根拠">
      <calculatedColumnFormula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calculatedColumnFormula>
    </tableColumn>
    <tableColumn id="18" name="補足"/>
    <tableColumn id="19" name="入力チェック">
      <calculatedColumnFormula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calculatedColumnFormula>
    </tableColumn>
    <tableColumn id="20" name="工数入力数">
      <calculatedColumnFormula>IF(tblProjects[[#This Row],[案件ID]]="",0,COUNTIFS(tblSteps[案件ID],tblProjects[[#This Row],[案件ID]],tblSteps[集計対象],1,tblSteps[工数あり],1))</calculatedColumnFormula>
    </tableColumn>
    <tableColumn id="21" name="工数合計">
      <calculatedColumnFormula>IF(tblProjects[[#This Row],[案件ID]]="",0,SUMIFS(tblSteps[計画工数（時間）],tblSteps[案件ID],tblProjects[[#This Row],[案件ID]],tblSteps[集計対象],1))</calculatedColumnFormula>
    </tableColumn>
    <tableColumn id="22" name="加重進捗和">
      <calculatedColumnFormula>IF(tblProjects[[#This Row],[案件ID]]="",0,SUMIFS(tblSteps[加重進捗],tblSteps[案件ID],tblProjects[[#This Row],[案件ID]],tblSteps[集計対象],1))</calculatedColumnFormula>
    </tableColumn>
    <tableColumn id="23" name="進捗和">
      <calculatedColumnFormula>IF(tblProjects[[#This Row],[案件ID]]="",0,SUMIFS(tblSteps[進捗値],tblSteps[案件ID],tblProjects[[#This Row],[案件ID]],tblSteps[集計対象],1))</calculatedColumnFormula>
    </tableColumn>
    <tableColumn id="24" name="完了数">
      <calculatedColumnFormula>IF(tblProjects[[#This Row],[案件ID]]="",0,COUNTIFS(tblSteps[案件ID],tblProjects[[#This Row],[案件ID]],tblSteps[集計対象],1,tblSteps[完了],1))</calculatedColumnFormula>
    </tableColumn>
    <tableColumn id="25" name="進行中数">
      <calculatedColumnFormula>IF(tblProjects[[#This Row],[案件ID]]="",0,COUNTIFS(tblSteps[案件ID],tblProjects[[#This Row],[案件ID]],tblSteps[集計対象],1,tblSteps[状態],"進行中"))</calculatedColumnFormula>
    </tableColumn>
    <tableColumn id="26" name="未完了見込なし数">
      <calculatedColumnFormula>IF(tblProjects[[#This Row],[案件ID]]="",0,COUNTIFS(tblSteps[案件ID],tblProjects[[#This Row],[案件ID]],tblSteps[集計対象],1,tblSteps[完了],0,tblSteps[見込入力],0))</calculatedColumnFormula>
    </tableColumn>
    <tableColumn id="27" name="現在キー">
      <calculatedColumnFormula>IF(tblProjects[[#This Row],[案件ID]]="",0,_xlfn.MINIFS(tblSteps[現在キー],tblSteps[案件ID],tblProjects[[#This Row],[案件ID]]))</calculatedColumnFormula>
    </tableColumn>
    <tableColumn id="28" name="次キー">
      <calculatedColumnFormula>IF(tblProjects[[#This Row],[案件ID]]="",0,_xlfn.MINIFS(tblSteps[次キー],tblSteps[案件ID],tblProjects[[#This Row],[案件ID]]))</calculatedColumnFormula>
    </tableColumn>
    <tableColumn id="29" name="ホーム対象">
      <calculatedColumnFormula>IF(AND(tblProjects[[#This Row],[案件ID]]&lt;&gt;"",tblProjects[[#This Row],[状態]]&lt;&gt;"完了",tblProjects[[#This Row],[状態]]&lt;&gt;"取消"),1,0)</calculatedColumnFormula>
    </tableColumn>
    <tableColumn id="30" name="並びキー">
      <calculatedColumnFormula>IF(ISNUMBER(tblProjects[[#This Row],[顧客納期]]),INT(tblProjects[[#This Row],[顧客納期]]),99999)*100000+N(tblProjects[[#This Row],[ID番号]])</calculatedColumnFormula>
    </tableColumn>
    <tableColumn id="31" name="案件順位">
      <calculatedColumnFormula>IF(tblProjects[[#This Row],[案件ID]]="","",COUNTIFS(tblProjects[並びキー],"&lt;"&amp;tblProjects[[#This Row],[並びキー]],tblProjects[案件ID],"?*")+1)</calculatedColumnFormula>
    </tableColumn>
    <tableColumn id="32" name="ホーム順位">
      <calculatedColumnFormula>IF(tblProjects[[#This Row],[ホーム対象]]=1,COUNTIFS(tblProjects[ホーム対象],1,tblProjects[並びキー],"&lt;"&amp;tblProjects[[#This Row],[並びキー]])+1,"")</calculatedColumnFormula>
    </tableColumn>
    <tableColumn id="33" name="ID番号">
      <calculatedColumnFormula>IFERROR(VALUE(MID(tblProjects[[#This Row],[案件ID]],2,20)),"")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Steps" displayName="tblSteps" ref="A5:BR35" headerRowCount="1">
  <autoFilter ref="A5:BR35"/>
  <tableColumns count="70">
    <tableColumn id="1" name="工程ID"/>
    <tableColumn id="2" name="案件ID"/>
    <tableColumn id="3" name="案件名">
      <calculatedColumnFormula>IF(tblSteps[[#This Row],[案件ID]]="","",IF(tblSteps[[#This Row],[案件行]]="","（未登録の案件ID）",INDEX(tblProjects[案件名],tblSteps[[#This Row],[案件行]])&amp;""))</calculatedColumnFormula>
    </tableColumn>
    <tableColumn id="4" name="工程名"/>
    <tableColumn id="5" name="担当"/>
    <tableColumn id="6" name="状態"/>
    <tableColumn id="7" name="進捗率"/>
    <tableColumn id="8" name="計画開始日"/>
    <tableColumn id="9" name="計画終了日"/>
    <tableColumn id="10" name="完了見込日"/>
    <tableColumn id="11" name="実績開始日"/>
    <tableColumn id="12" name="実績終了日"/>
    <tableColumn id="13" name="注意">
      <calculatedColumnFormula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calculatedColumnFormula>
    </tableColumn>
    <tableColumn id="14" name="顧客納期">
      <calculatedColumnFormula>IF(tblSteps[[#This Row],[案件行]]="","",IF(ISNUMBER(INDEX(tblProjects[顧客納期],tblSteps[[#This Row],[案件行]])),INDEX(tblProjects[顧客納期],tblSteps[[#This Row],[案件行]]),""))</calculatedColumnFormula>
    </tableColumn>
    <tableColumn id="15" name="開始時刻"/>
    <tableColumn id="16" name="終了時刻"/>
    <tableColumn id="17" name="計画工数（時間）"/>
    <tableColumn id="18" name="先行工程ID"/>
    <tableColumn id="19" name="懸念事項"/>
    <tableColumn id="20" name="入力チェック">
      <calculatedColumnFormula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calculatedColumnFormula>
    </tableColumn>
    <tableColumn id="21" name="ID番号">
      <calculatedColumnFormula>IFERROR(VALUE(MID(tblSteps[[#This Row],[工程ID]],2,20)),"")</calculatedColumnFormula>
    </tableColumn>
    <tableColumn id="22" name="案件行">
      <calculatedColumnFormula>IF(tblSteps[[#This Row],[案件ID]]="","",IFERROR(MATCH(tblSteps[[#This Row],[案件ID]],tblProjects[案件ID],0),""))</calculatedColumnFormula>
    </tableColumn>
    <tableColumn id="23" name="表示可能">
      <calculatedColumnFormula>IF(AND(tblSteps[[#This Row],[工程ID]]&lt;&gt;"",tblSteps[[#This Row],[状態]]&lt;&gt;"取消"),1,0)</calculatedColumnFormula>
    </tableColumn>
    <tableColumn id="24" name="集計対象">
      <calculatedColumnFormula>IF(AND(tblSteps[[#This Row],[工程ID]]&lt;&gt;"",tblSteps[[#This Row],[案件行]]&lt;&gt;"",tblSteps[[#This Row],[状態]]&lt;&gt;"取消"),1,0)</calculatedColumnFormula>
    </tableColumn>
    <tableColumn id="25" name="完了">
      <calculatedColumnFormula>IF(tblSteps[[#This Row],[状態]]="完了",1,0)</calculatedColumnFormula>
    </tableColumn>
    <tableColumn id="26" name="日付OK">
      <calculatedColumnFormula>IF(AND(ISNUMBER(tblSteps[[#This Row],[計画開始日]]),ISNUMBER(tblSteps[[#This Row],[計画終了日]])),IF(INT(tblSteps[[#This Row],[計画終了日]])&gt;=INT(tblSteps[[#This Row],[計画開始日]]),1,0),0)</calculatedColumnFormula>
    </tableColumn>
    <tableColumn id="27" name="開始時刻値">
      <calculatedColumnFormula>IF(ISNUMBER(tblSteps[[#This Row],[開始時刻]]),MOD(tblSteps[[#This Row],[開始時刻]],1),DefStart)</calculatedColumnFormula>
    </tableColumn>
    <tableColumn id="28" name="終了時刻値">
      <calculatedColumnFormula>IF(ISNUMBER(tblSteps[[#This Row],[終了時刻]]),MOD(tblSteps[[#This Row],[終了時刻]],1),DefEnd)</calculatedColumnFormula>
    </tableColumn>
    <tableColumn id="29" name="開始分">
      <calculatedColumnFormula>IF(tblSteps[[#This Row],[日付OK]]=1,ROUND((INT(tblSteps[[#This Row],[計画開始日]])+tblSteps[[#This Row],[開始時刻値]])*1440,0),"")</calculatedColumnFormula>
    </tableColumn>
    <tableColumn id="30" name="終了分">
      <calculatedColumnFormula>IF(tblSteps[[#This Row],[日付OK]]=1,ROUND((INT(tblSteps[[#This Row],[計画終了日]])+tblSteps[[#This Row],[終了時刻値]])*1440,0),"")</calculatedColumnFormula>
    </tableColumn>
    <tableColumn id="31" name="時刻OK">
      <calculatedColumnFormula>IF(tblSteps[[#This Row],[日付OK]]=0,0,IF(tblSteps[[#This Row],[終了分]]&gt;tblSteps[[#This Row],[開始分]],1,0))</calculatedColumnFormula>
    </tableColumn>
    <tableColumn id="32" name="進捗値">
      <calculatedColumnFormula>IF(ISNUMBER(tblSteps[[#This Row],[進捗率]]),MAX(0,MIN(1,tblSteps[[#This Row],[進捗率]])),0)</calculatedColumnFormula>
    </tableColumn>
    <tableColumn id="33" name="工数あり">
      <calculatedColumnFormula>IF(AND(ISNUMBER(tblSteps[[#This Row],[計画工数（時間）]]),N(tblSteps[[#This Row],[計画工数（時間）]])&gt;0),1,0)</calculatedColumnFormula>
    </tableColumn>
    <tableColumn id="34" name="加重進捗">
      <calculatedColumnFormula>tblSteps[[#This Row],[進捗値]]*N(tblSteps[[#This Row],[計画工数（時間）]])</calculatedColumnFormula>
    </tableColumn>
    <tableColumn id="35" name="見込入力">
      <calculatedColumnFormula>IF(ISNUMBER(tblSteps[[#This Row],[完了見込日]]),1,0)</calculatedColumnFormula>
    </tableColumn>
    <tableColumn id="36" name="見込終了">
      <calculatedColumnFormula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calculatedColumnFormula>
    </tableColumn>
    <tableColumn id="37" name="遅れ日数">
      <calculatedColumnFormula>IF(AND(tblSteps[[#This Row],[集計対象]]=1,tblSteps[[#This Row],[完了]]=0,tblSteps[[#This Row],[日付OK]]=1),MAX(0,RefDate-INT(tblSteps[[#This Row],[計画終了日]])),0)</calculatedColumnFormula>
    </tableColumn>
    <tableColumn id="38" name="見込遅れ日数">
      <calculatedColumnFormula>IF(AND(tblSteps[[#This Row],[集計対象]]=1,tblSteps[[#This Row],[完了]]=0,tblSteps[[#This Row],[見込入力]]=1,tblSteps[[#This Row],[日付OK]]=1),MAX(0,INT(tblSteps[[#This Row],[完了見込日]])-INT(tblSteps[[#This Row],[計画終了日]])),0)</calculatedColumnFormula>
    </tableColumn>
    <tableColumn id="39" name="完了遅延日数">
      <calculatedColumnFormula>IF(AND(tblSteps[[#This Row],[集計対象]]=1,tblSteps[[#This Row],[完了]]=1,ISNUMBER(tblSteps[[#This Row],[実績終了日]]),tblSteps[[#This Row],[日付OK]]=1),MAX(0,INT(tblSteps[[#This Row],[実績終了日]])-INT(tblSteps[[#This Row],[計画終了日]])),0)</calculatedColumnFormula>
    </tableColumn>
    <tableColumn id="40" name="納期超過見込">
      <calculatedColumnFormula>IF(AND(tblSteps[[#This Row],[集計対象]]=1,tblSteps[[#This Row],[完了]]=0,ISNUMBER(tblSteps[[#This Row],[顧客納期]]),ISNUMBER(tblSteps[[#This Row],[見込終了]])),IF(tblSteps[[#This Row],[見込終了]]&gt;tblSteps[[#This Row],[顧客納期]],1,0),0)</calculatedColumnFormula>
    </tableColumn>
    <tableColumn id="41" name="重複対象">
      <calculatedColumnFormula>IF(AND(tblSteps[[#This Row],[集計対象]]=1,tblSteps[[#This Row],[完了]]=0,tblSteps[[#This Row],[時刻OK]]=1,tblSteps[[#This Row],[担当]]&lt;&gt;""),1,0)</calculatedColumnFormula>
    </tableColumn>
    <tableColumn id="42" name="重複数">
      <calculatedColumnFormula>IF(tblSteps[[#This Row],[重複対象]]=1,COUNTIFS(tblSteps[担当],tblSteps[[#This Row],[担当]],tblSteps[重複対象],1,tblSteps[開始分],"&lt;"&amp;tblSteps[[#This Row],[終了分]],tblSteps[終了分],"&gt;"&amp;tblSteps[[#This Row],[開始分]])-1,0)</calculatedColumnFormula>
    </tableColumn>
    <tableColumn id="43" name="注意短">
      <calculatedColumnFormula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calculatedColumnFormula>
    </tableColumn>
    <tableColumn id="44" name="重要度">
      <calculatedColumnFormula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calculatedColumnFormula>
    </tableColumn>
    <tableColumn id="45" name="計開">
      <calculatedColumnFormula>IF(tblSteps[[#This Row],[日付OK]]=1,INT(tblSteps[[#This Row],[計画開始日]]),1)</calculatedColumnFormula>
    </tableColumn>
    <tableColumn id="46" name="計終">
      <calculatedColumnFormula>IF(tblSteps[[#This Row],[日付OK]]=1,INT(tblSteps[[#This Row],[計画終了日]]),0)</calculatedColumnFormula>
    </tableColumn>
    <tableColumn id="47" name="実開">
      <calculatedColumnFormula>IF(ISNUMBER(tblSteps[[#This Row],[実績開始日]]),INT(tblSteps[[#This Row],[実績開始日]]),1)</calculatedColumnFormula>
    </tableColumn>
    <tableColumn id="48" name="実終">
      <calculatedColumnFormula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calculatedColumnFormula>
    </tableColumn>
    <tableColumn id="49" name="遅開">
      <calculatedColumnFormula>IF(AND(tblSteps[[#This Row],[集計対象]]=1,tblSteps[[#This Row],[完了]]=0,tblSteps[[#This Row],[日付OK]]=1),INT(tblSteps[[#This Row],[計画終了日]])+1,1)</calculatedColumnFormula>
    </tableColumn>
    <tableColumn id="50" name="遅終">
      <calculatedColumnFormula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calculatedColumnFormula>
    </tableColumn>
    <tableColumn id="51" name="納期値">
      <calculatedColumnFormula>IF(ISNUMBER(tblSteps[[#This Row],[顧客納期]]),INT(tblSteps[[#This Row],[顧客納期]]),0)</calculatedColumnFormula>
    </tableColumn>
    <tableColumn id="52" name="表示始">
      <calculatedColumnFormula>IF(tblSteps[[#This Row],[日付OK]]=0,"",MIN(tblSteps[[#This Row],[計開]],IF(ISNUMBER(tblSteps[[#This Row],[実績開始日]]),tblSteps[[#This Row],[実開]],tblSteps[[#This Row],[計開]])))</calculatedColumnFormula>
    </tableColumn>
    <tableColumn id="53" name="表示終">
      <calculatedColumnFormula>IF(tblSteps[[#This Row],[日付OK]]=0,"",MAX(tblSteps[[#This Row],[計終]],tblSteps[[#This Row],[実終]],tblSteps[[#This Row],[遅終]]))</calculatedColumnFormula>
    </tableColumn>
    <tableColumn id="54" name="現在キー">
      <calculatedColumnFormula>IF(AND(tblSteps[[#This Row],[集計対象]]=1,tblSteps[[#This Row],[状態]]="進行中"),IF(tblSteps[[#This Row],[日付OK]]=1,INT(tblSteps[[#This Row],[計画開始日]]),99999)*100000+N(tblSteps[[#This Row],[ID番号]]),"")</calculatedColumnFormula>
    </tableColumn>
    <tableColumn id="55" name="次キー">
      <calculatedColumnFormula>IF(AND(tblSteps[[#This Row],[集計対象]]=1,tblSteps[[#This Row],[状態]]="未着手"),IF(tblSteps[[#This Row],[日付OK]]=1,INT(tblSteps[[#This Row],[計画開始日]]),99999)*100000+N(tblSteps[[#This Row],[ID番号]]),"")</calculatedColumnFormula>
    </tableColumn>
    <tableColumn id="56" name="並びキー">
      <calculatedColumnFormula>IF(tblSteps[[#This Row],[案件行]]="",999,N(INDEX(tblProjects[案件順位],tblSteps[[#This Row],[案件行]])))*10000000000+IF(tblSteps[[#This Row],[日付OK]]=1,INT(tblSteps[[#This Row],[計画開始日]]),99999)*100000+N(tblSteps[[#This Row],[ID番号]])</calculatedColumnFormula>
    </tableColumn>
    <tableColumn id="57" name="日別対象">
      <calculatedColumnFormula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calculatedColumnFormula>
    </tableColumn>
    <tableColumn id="58" name="日別期間外">
      <calculatedColumnFormula>IF(AND(tblSteps[[#This Row],[表示可能]]=1,OR(DayStaff="",DayStaff="全員",DayStaff=tblSteps[[#This Row],[担当]]),OR(DayProj="",DayProj="全案件",DayProj=tblSteps[[#This Row],[案件ID]]),tblSteps[[#This Row],[日付OK]]=1,tblSteps[[#This Row],[日別対象]]=0),1,0)</calculatedColumnFormula>
    </tableColumn>
    <tableColumn id="59" name="日別順位">
      <calculatedColumnFormula>IF(tblSteps[[#This Row],[日別対象]]=1,COUNTIFS(tblSteps[日別対象],1,tblSteps[並びキー],"&lt;"&amp;tblSteps[[#This Row],[並びキー]])+1,"")</calculatedColumnFormula>
    </tableColumn>
    <tableColumn id="60" name="週別対象">
      <calculatedColumnFormula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calculatedColumnFormula>
    </tableColumn>
    <tableColumn id="61" name="週別期間外">
      <calculatedColumnFormula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calculatedColumnFormula>
    </tableColumn>
    <tableColumn id="62" name="週別順位">
      <calculatedColumnFormula>IF(tblSteps[[#This Row],[週別対象]]=1,COUNTIFS(tblSteps[週別対象],1,tblSteps[並びキー],"&lt;"&amp;tblSteps[[#This Row],[並びキー]])+1,"")</calculatedColumnFormula>
    </tableColumn>
    <tableColumn id="63" name="時間割対象">
      <calculatedColumnFormula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calculatedColumnFormula>
    </tableColumn>
    <tableColumn id="64" name="時間割キー">
      <calculatedColumnFormula>IFERROR(MATCH(tblSteps[[#This Row],[担当]],lst_Staff,0),99)*1000000000000+N(tblSteps[[#This Row],[開始分]])*10000+MOD(N(tblSteps[[#This Row],[ID番号]]),10000)</calculatedColumnFormula>
    </tableColumn>
    <tableColumn id="65" name="時間割順位">
      <calculatedColumnFormula>IF(tblSteps[[#This Row],[時間割対象]]=1,COUNTIFS(tblSteps[時間割対象],1,tblSteps[時間割キー],"&lt;"&amp;tblSteps[[#This Row],[時間割キー]])+1,"")</calculatedColumnFormula>
    </tableColumn>
    <tableColumn id="66" name="ホーム注意対象">
      <calculatedColumnFormula>IF(AND(tblSteps[[#This Row],[表示可能]]=1,tblSteps[[#This Row],[完了]]=0,tblSteps[[#This Row],[重要度]]&gt;0),1,0)</calculatedColumnFormula>
    </tableColumn>
    <tableColumn id="67" name="ホーム注意キー">
      <calculatedColumnFormula>tblSteps[[#This Row],[重要度]]*10000000000+IF(tblSteps[[#This Row],[日付OK]]=1,INT(tblSteps[[#This Row],[計画終了日]]),99999)*100000+N(tblSteps[[#This Row],[ID番号]])</calculatedColumnFormula>
    </tableColumn>
    <tableColumn id="68" name="ホーム注意順位">
      <calculatedColumnFormula>IF(tblSteps[[#This Row],[ホーム注意対象]]=1,COUNTIFS(tblSteps[ホーム注意対象],1,tblSteps[ホーム注意キー],"&lt;"&amp;tblSteps[[#This Row],[ホーム注意キー]])+1,"")</calculatedColumnFormula>
    </tableColumn>
    <tableColumn id="69" name="完了遅延対象">
      <calculatedColumnFormula>IF(tblSteps[[#This Row],[完了遅延日数]]&gt;0,1,0)</calculatedColumnFormula>
    </tableColumn>
    <tableColumn id="70" name="完了遅延順位">
      <calculatedColumnFormula>IF(tblSteps[[#This Row],[完了遅延対象]]=1,COUNTIFS(tblSteps[完了遅延対象],1,tblSteps[並びキー],"&lt;"&amp;tblSteps[[#This Row],[並びキー]])+1,"")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tabColor rgb="000A1B36"/>
    <outlinePr summaryBelow="1" summaryRight="1"/>
    <pageSetUpPr fitToPage="1"/>
  </sheetPr>
  <dimension ref="A1:R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  <col width="8.800000000000001" customWidth="1" min="17" max="17"/>
    <col hidden="1" width="6" customWidth="1" min="18" max="18"/>
    <col hidden="1" width="6" customWidth="1" min="19" max="19"/>
  </cols>
  <sheetData>
    <row r="1" ht="30" customHeight="1">
      <c r="A1" s="1" t="inlineStr">
        <is>
          <t>工程管理・ガント　全体ホーム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サンプル（架空データ）</t>
        </is>
      </c>
    </row>
    <row r="2" ht="20" customHeight="1">
      <c r="A2" s="4" t="inlineStr">
        <is>
          <t>進行中の案件・今週の納期・遅れと注意を確認します。この画面は表示専用です（入力は 02_案件マスター・03_工程入力）。</t>
        </is>
      </c>
    </row>
    <row r="3" ht="22" customHeight="1">
      <c r="B3" s="5" t="inlineStr">
        <is>
          <t>▶ 案件マスター</t>
        </is>
      </c>
      <c r="D3" s="5" t="inlineStr">
        <is>
          <t>▶ 工程入力</t>
        </is>
      </c>
      <c r="F3" s="5" t="inlineStr">
        <is>
          <t>▶ 日別ガント</t>
        </is>
      </c>
      <c r="H3" s="5" t="inlineStr">
        <is>
          <t>▶ 週別ガント</t>
        </is>
      </c>
      <c r="J3" s="5" t="inlineStr">
        <is>
          <t>▶ 当日時間割</t>
        </is>
      </c>
      <c r="L3" s="5" t="inlineStr">
        <is>
          <t>▶ 設定</t>
        </is>
      </c>
      <c r="N3" s="5" t="inlineStr">
        <is>
          <t>▶ 使い方</t>
        </is>
      </c>
    </row>
    <row r="4" ht="6" customHeight="1"/>
    <row r="5" ht="26" customHeight="1">
      <c r="B5" s="6" t="inlineStr">
        <is>
          <t>基準日</t>
        </is>
      </c>
      <c r="C5" s="7">
        <f>RefDate</f>
        <v>46300.0</v>
      </c>
      <c r="E5" s="8" t="str">
        <f>IF(RefDateInput="","今日の日付を使用中","【デモ用基準日】07_設定で変更")&amp;"　／　今週＝"&amp;TEXT(RefDate-WEEKDAY(RefDate,3),"m/d")&amp;"〜"&amp;TEXT(RefDate-WEEKDAY(RefDate,3)+6,"m/d")</f>
        <v>【デモ用基準日】07_設定で変更　／　今週＝10/5〜10/11</v>
      </c>
    </row>
    <row r="6" ht="40" customHeight="1">
      <c r="B6" s="9" t="inlineStr">
        <is>
          <t>集計対象：状態が完了・取消以外の案件。納期判定は各工程の完了見込（未入力の工程は計画終了日、期限を過ぎた未完了工程は基準日）と顧客納期の比較です。完了見込が未入力の案件は（予定ベース）と表示し、納期に間に合うことを保証しません。進捗は工程の工数がすべて入力されていれば工数加重平均、そうでなければ工程の単純平均です。</t>
        </is>
      </c>
    </row>
    <row r="7" ht="6" customHeight="1"/>
    <row r="8" ht="20" customHeight="1">
      <c r="B8" s="10" t="inlineStr">
        <is>
          <t>進行中の案件</t>
        </is>
      </c>
      <c r="C8" s="11" t="n"/>
      <c r="D8" s="12" t="inlineStr">
        <is>
          <t>今週が納期</t>
        </is>
      </c>
      <c r="E8" s="13" t="n"/>
      <c r="F8" s="14" t="inlineStr">
        <is>
          <t>納期超過・遅れ見込</t>
        </is>
      </c>
      <c r="G8" s="15" t="n"/>
      <c r="H8" s="16" t="inlineStr">
        <is>
          <t>納期迫る</t>
        </is>
      </c>
      <c r="I8" s="17" t="n"/>
      <c r="J8" s="14" t="inlineStr">
        <is>
          <t>期限超過の工程</t>
        </is>
      </c>
      <c r="K8" s="15" t="n"/>
      <c r="L8" s="16" t="inlineStr">
        <is>
          <t>予定重複の可能性</t>
        </is>
      </c>
      <c r="M8" s="17" t="n"/>
      <c r="N8" s="10" t="inlineStr">
        <is>
          <t>今日の工程</t>
        </is>
      </c>
      <c r="O8" s="11" t="n"/>
      <c r="P8" s="16" t="inlineStr">
        <is>
          <t>入力要確認</t>
        </is>
      </c>
      <c r="Q8" s="17" t="n"/>
    </row>
    <row r="9" ht="38" customHeight="1">
      <c r="B9" s="18">
        <f>COUNTIF(tblProjects[ホーム対象],1)</f>
        <v>5</v>
      </c>
      <c r="C9" s="19" t="n"/>
      <c r="D9" s="18">
        <f>COUNTIFS(tblProjects[ホーム対象],1,tblProjects[顧客納期],"&gt;="&amp;(RefDate-WEEKDAY(RefDate,3)),tblProjects[顧客納期],"&lt;="&amp;((RefDate-WEEKDAY(RefDate,3))+6))</f>
        <v>1</v>
      </c>
      <c r="E9" s="19" t="n"/>
      <c r="F9" s="18">
        <f>COUNTIFS(tblProjects[ホーム対象],1,tblProjects[納期判定],"納期超過")+COUNTIFS(tblProjects[ホーム対象],1,tblProjects[納期判定],"納期遅れ見込*")</f>
        <v>2</v>
      </c>
      <c r="G9" s="19" t="n"/>
      <c r="H9" s="18">
        <f>COUNTIFS(tblProjects[ホーム対象],1,tblProjects[納期判定],"納期迫る*")</f>
        <v>1</v>
      </c>
      <c r="I9" s="19" t="n"/>
      <c r="J9" s="18">
        <f>COUNTIF(tblSteps[遅れ日数],"&gt;0")</f>
        <v>2</v>
      </c>
      <c r="K9" s="19" t="n"/>
      <c r="L9" s="18">
        <f>COUNTIF(tblSteps[重複数],"&gt;0")</f>
        <v>4</v>
      </c>
      <c r="M9" s="19" t="n"/>
      <c r="N9" s="18">
        <f>COUNTIFS(tblSteps[集計対象],1,tblSteps[完了],0,tblSteps[計開],"&lt;="&amp;RefDate,tblSteps[計終],"&gt;="&amp;RefDate)</f>
        <v>10</v>
      </c>
      <c r="O9" s="19" t="n"/>
      <c r="P9" s="18">
        <f>COUNTIF(tblProjects[入力チェック],"?*")+COUNTIF(tblSteps[入力チェック],"?*")</f>
        <v>0</v>
      </c>
      <c r="Q9" s="19" t="n"/>
    </row>
    <row r="10" ht="28" customHeight="1">
      <c r="B10" s="20" t="inlineStr">
        <is>
          <t>完了・取消以外</t>
        </is>
      </c>
      <c r="C10" s="21" t="n"/>
      <c r="D10" s="20" t="inlineStr">
        <is>
          <t>今週（月〜日）に顧客納期</t>
        </is>
      </c>
      <c r="E10" s="21" t="n"/>
      <c r="F10" s="20" t="inlineStr">
        <is>
          <t>予定ベースの参考判定を含む</t>
        </is>
      </c>
      <c r="G10" s="21" t="n"/>
      <c r="H10" s="20" t="str">
        <f>"残"&amp;DueWarnDays&amp;"日以内"</f>
        <v>残7日以内</v>
      </c>
      <c r="I10" s="21" t="n"/>
      <c r="J10" s="20" t="inlineStr">
        <is>
          <t>計画終了日を過ぎた未完了</t>
        </is>
      </c>
      <c r="K10" s="21" t="n"/>
      <c r="L10" s="20" t="inlineStr">
        <is>
          <t>同じ担当の時間が重なる工程</t>
        </is>
      </c>
      <c r="M10" s="21" t="n"/>
      <c r="N10" s="20" t="inlineStr">
        <is>
          <t>基準日が計画期間内の未完了</t>
        </is>
      </c>
      <c r="O10" s="21" t="n"/>
      <c r="P10" s="20" t="inlineStr">
        <is>
          <t>案件・工程の入力チェック</t>
        </is>
      </c>
      <c r="Q10" s="21" t="n"/>
    </row>
    <row r="11" ht="8" customHeight="1"/>
    <row r="12" ht="24" customHeight="1">
      <c r="B12" s="22" t="inlineStr">
        <is>
          <t>① 案件別サマリー（顧客納期が近い順）</t>
        </is>
      </c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3" t="str">
        <f>"表示 "&amp;MIN(15,COUNTIF(tblProjects[ホーム対象],1))&amp;" 件／対象 "&amp;COUNTIF(tblProjects[ホーム対象],1)&amp;" 件"</f>
        <v>表示 5 件／対象 5 件</v>
      </c>
    </row>
    <row r="13" ht="20" customHeight="1">
      <c r="B13" s="24" t="inlineStr">
        <is>
          <t>案件</t>
        </is>
      </c>
      <c r="C13" s="25" t="n"/>
      <c r="D13" s="25" t="n"/>
      <c r="E13" s="24" t="inlineStr">
        <is>
          <t>顧客</t>
        </is>
      </c>
      <c r="F13" s="25" t="n"/>
      <c r="G13" s="24" t="inlineStr">
        <is>
          <t>責任者</t>
        </is>
      </c>
      <c r="H13" s="24" t="inlineStr">
        <is>
          <t>顧客納期</t>
        </is>
      </c>
      <c r="I13" s="24" t="inlineStr">
        <is>
          <t>残日数</t>
        </is>
      </c>
      <c r="J13" s="24" t="inlineStr">
        <is>
          <t>今の工程</t>
        </is>
      </c>
      <c r="K13" s="25" t="n"/>
      <c r="L13" s="25" t="n"/>
      <c r="M13" s="24" t="inlineStr">
        <is>
          <t>進捗</t>
        </is>
      </c>
      <c r="N13" s="24" t="inlineStr">
        <is>
          <t>完了見込</t>
        </is>
      </c>
      <c r="O13" s="24" t="inlineStr">
        <is>
          <t>納期判定</t>
        </is>
      </c>
      <c r="P13" s="25" t="n"/>
      <c r="Q13" s="25" t="n"/>
    </row>
    <row r="14" ht="30" customHeight="1">
      <c r="B14" s="26" t="str">
        <f>IF($R14="",IF(COUNTIF(tblProjects[ホーム対象],1)=0,IF(COUNTIF(tblProjects[案件ID],"?*")=0,"案件未登録：02_案件マスターに登録すると表示されます","該当なし（完了・取消以外の案件がありません）"),""),INDEX(tblProjects[案件ID],$R14)&amp;" "&amp;INDEX(tblProjects[案件名],$R14))</f>
        <v>A0023 定期保守点検（年2回）</v>
      </c>
      <c r="C14" s="27" t="n"/>
      <c r="D14" s="27" t="n"/>
      <c r="E14" s="26" t="str">
        <f>IF($R14="","",INDEX(tblProjects[顧客名],$R14)&amp;"")</f>
        <v>テスト設備保守株式会社</v>
      </c>
      <c r="F14" s="27" t="n"/>
      <c r="G14" s="28" t="str">
        <f>IF($R14="","",INDEX(tblProjects[責任者],$R14)&amp;"")</f>
        <v>渡辺</v>
      </c>
      <c r="H14" s="29">
        <f>IF($R14="","",IF(ISNUMBER(INDEX(tblProjects[顧客納期],$R14)),INDEX(tblProjects[顧客納期],$R14),"未設定"))</f>
        <v>46297.0</v>
      </c>
      <c r="I14" s="30">
        <f>IF($R14="","",IF(ISNUMBER(INDEX(tblProjects[残日数],$R14)),INDEX(tblProjects[残日数],$R14),""))</f>
        <v>-3</v>
      </c>
      <c r="J14" s="26" t="str">
        <f>IF($R14="","",INDEX(tblProjects[今の工程],$R14)&amp;"")</f>
        <v>点検作業（渡辺）</v>
      </c>
      <c r="K14" s="27" t="n"/>
      <c r="L14" s="27" t="n"/>
      <c r="M14" s="31">
        <f>IF($R14="","",IF(ISNUMBER(INDEX(tblProjects[進捗],$R14)),INDEX(tblProjects[進捗],$R14),""))</f>
        <v>0.45</v>
      </c>
      <c r="N14" s="32">
        <f>IF($R14="","",IF(ISNUMBER(INDEX(tblProjects[完了見込日],$R14)),INDEX(tblProjects[完了見込日],$R14),""))</f>
        <v>46302.0</v>
      </c>
      <c r="O14" s="26" t="str">
        <f>IF($R14="","",INDEX(tblProjects[納期判定],$R14)&amp;"")</f>
        <v>納期超過</v>
      </c>
      <c r="P14" s="27" t="n"/>
      <c r="Q14" s="27" t="n"/>
      <c r="R14">
        <f>IF(1&gt;COUNTIF(tblProjects[ホーム対象],1),"",IFERROR(MATCH(1,tblProjects[ホーム順位],0),""))</f>
        <v>5</v>
      </c>
    </row>
    <row r="15" ht="30" customHeight="1">
      <c r="B15" s="26" t="str">
        <f>IF($R15="","",INDEX(tblProjects[案件ID],$R15)&amp;" "&amp;INDEX(tblProjects[案件名],$R15))</f>
        <v>A0020 スポット修理（搬送装置）</v>
      </c>
      <c r="C15" s="27" t="n"/>
      <c r="D15" s="27" t="n"/>
      <c r="E15" s="26" t="str">
        <f>IF($R15="","",INDEX(tblProjects[顧客名],$R15)&amp;"")</f>
        <v>テスト設備保守株式会社</v>
      </c>
      <c r="F15" s="27" t="n"/>
      <c r="G15" s="28" t="str">
        <f>IF($R15="","",INDEX(tblProjects[責任者],$R15)&amp;"")</f>
        <v>伊藤</v>
      </c>
      <c r="H15" s="29">
        <f>IF($R15="","",IF(ISNUMBER(INDEX(tblProjects[顧客納期],$R15)),INDEX(tblProjects[顧客納期],$R15),"未設定"))</f>
        <v>46304.0</v>
      </c>
      <c r="I15" s="30">
        <f>IF($R15="","",IF(ISNUMBER(INDEX(tblProjects[残日数],$R15)),INDEX(tblProjects[残日数],$R15),""))</f>
        <v>4</v>
      </c>
      <c r="J15" s="26" t="str">
        <f>IF($R15="","",INDEX(tblProjects[今の工程],$R15)&amp;"")</f>
        <v>修理作業（伊藤）</v>
      </c>
      <c r="K15" s="27" t="n"/>
      <c r="L15" s="27" t="n"/>
      <c r="M15" s="31">
        <f>IF($R15="","",IF(ISNUMBER(INDEX(tblProjects[進捗],$R15)),INDEX(tblProjects[進捗],$R15),""))</f>
        <v>0.35</v>
      </c>
      <c r="N15" s="32">
        <f>IF($R15="","",IF(ISNUMBER(INDEX(tblProjects[完了見込日],$R15)),INDEX(tblProjects[完了見込日],$R15),""))</f>
        <v>46303.0</v>
      </c>
      <c r="O15" s="26" t="str">
        <f>IF($R15="","",INDEX(tblProjects[納期判定],$R15)&amp;"")</f>
        <v>納期迫る（残4日）</v>
      </c>
      <c r="P15" s="27" t="n"/>
      <c r="Q15" s="27" t="n"/>
      <c r="R15">
        <f>IF(2&gt;COUNTIF(tblProjects[ホーム対象],1),"",IFERROR(MATCH(2,tblProjects[ホーム順位],0),""))</f>
        <v>2</v>
      </c>
    </row>
    <row r="16" ht="30" customHeight="1">
      <c r="B16" s="26" t="str">
        <f>IF($R16="","",INDEX(tblProjects[案件ID],$R16)&amp;" "&amp;INDEX(tblProjects[案件名],$R16))</f>
        <v>A0008 工作機械の搬入・据付</v>
      </c>
      <c r="C16" s="27" t="n"/>
      <c r="D16" s="27" t="n"/>
      <c r="E16" s="26" t="str">
        <f>IF($R16="","",INDEX(tblProjects[顧客名],$R16)&amp;"")</f>
        <v>テスト工機株式会社</v>
      </c>
      <c r="F16" s="27" t="n"/>
      <c r="G16" s="28" t="str">
        <f>IF($R16="","",INDEX(tblProjects[責任者],$R16)&amp;"")</f>
        <v>田中</v>
      </c>
      <c r="H16" s="29">
        <f>IF($R16="","",IF(ISNUMBER(INDEX(tblProjects[顧客納期],$R16)),INDEX(tblProjects[顧客納期],$R16),"未設定"))</f>
        <v>46311.0</v>
      </c>
      <c r="I16" s="30">
        <f>IF($R16="","",IF(ISNUMBER(INDEX(tblProjects[残日数],$R16)),INDEX(tblProjects[残日数],$R16),""))</f>
        <v>11</v>
      </c>
      <c r="J16" s="26" t="str">
        <f>IF($R16="","",INDEX(tblProjects[今の工程],$R16)&amp;"")</f>
        <v>基礎工事（協力会社A）</v>
      </c>
      <c r="K16" s="27" t="n"/>
      <c r="L16" s="27" t="n"/>
      <c r="M16" s="31">
        <f>IF($R16="","",IF(ISNUMBER(INDEX(tblProjects[進捗],$R16)),INDEX(tblProjects[進捗],$R16),""))</f>
        <v>0.484690553745928</v>
      </c>
      <c r="N16" s="32">
        <f>IF($R16="","",IF(ISNUMBER(INDEX(tblProjects[完了見込日],$R16)),INDEX(tblProjects[完了見込日],$R16),""))</f>
        <v>46311.0</v>
      </c>
      <c r="O16" s="26" t="str">
        <f>IF($R16="","",INDEX(tblProjects[納期判定],$R16)&amp;"")</f>
        <v>予定内（予定ベース）</v>
      </c>
      <c r="P16" s="27" t="n"/>
      <c r="Q16" s="27" t="n"/>
      <c r="R16">
        <f>IF(3&gt;COUNTIF(tblProjects[ホーム対象],1),"",IFERROR(MATCH(3,tblProjects[ホーム順位],0),""))</f>
        <v>1</v>
      </c>
    </row>
    <row r="17" ht="30" customHeight="1">
      <c r="B17" s="26" t="str">
        <f>IF($R17="","",INDEX(tblProjects[案件ID],$R17)&amp;" "&amp;INDEX(tblProjects[案件名],$R17))</f>
        <v>A0021 自動倉庫コンベヤ増設工事</v>
      </c>
      <c r="C17" s="27" t="n"/>
      <c r="D17" s="27" t="n"/>
      <c r="E17" s="26" t="str">
        <f>IF($R17="","",INDEX(tblProjects[顧客名],$R17)&amp;"")</f>
        <v>サンプル搬送機器株式会社</v>
      </c>
      <c r="F17" s="27" t="n"/>
      <c r="G17" s="28" t="str">
        <f>IF($R17="","",INDEX(tblProjects[責任者],$R17)&amp;"")</f>
        <v>高橋</v>
      </c>
      <c r="H17" s="29">
        <f>IF($R17="","",IF(ISNUMBER(INDEX(tblProjects[顧客納期],$R17)),INDEX(tblProjects[顧客納期],$R17),"未設定"))</f>
        <v>46325.0</v>
      </c>
      <c r="I17" s="30">
        <f>IF($R17="","",IF(ISNUMBER(INDEX(tblProjects[残日数],$R17)),INDEX(tblProjects[残日数],$R17),""))</f>
        <v>25</v>
      </c>
      <c r="J17" s="26" t="str">
        <f>IF($R17="","",INDEX(tblProjects[今の工程],$R17)&amp;"")</f>
        <v>部材の発注・製作（協力会社C）</v>
      </c>
      <c r="K17" s="27" t="n"/>
      <c r="L17" s="27" t="n"/>
      <c r="M17" s="31">
        <f>IF($R17="","",IF(ISNUMBER(INDEX(tblProjects[進捗],$R17)),INDEX(tblProjects[進捗],$R17),""))</f>
        <v>0.449315068493151</v>
      </c>
      <c r="N17" s="32">
        <f>IF($R17="","",IF(ISNUMBER(INDEX(tblProjects[完了見込日],$R17)),INDEX(tblProjects[完了見込日],$R17),""))</f>
        <v>46328.0</v>
      </c>
      <c r="O17" s="26" t="str">
        <f>IF($R17="","",INDEX(tblProjects[納期判定],$R17)&amp;"")</f>
        <v>納期遅れ見込（予定ベース）</v>
      </c>
      <c r="P17" s="27" t="n"/>
      <c r="Q17" s="27" t="n"/>
      <c r="R17">
        <f>IF(4&gt;COUNTIF(tblProjects[ホーム対象],1),"",IFERROR(MATCH(4,tblProjects[ホーム順位],0),""))</f>
        <v>3</v>
      </c>
    </row>
    <row r="18" ht="30" customHeight="1">
      <c r="B18" s="26" t="str">
        <f>IF($R18="","",INDEX(tblProjects[案件ID],$R18)&amp;" "&amp;INDEX(tblProjects[案件名],$R18))</f>
        <v>A0022 制御盤更新工事</v>
      </c>
      <c r="C18" s="27" t="n"/>
      <c r="D18" s="27" t="n"/>
      <c r="E18" s="26" t="str">
        <f>IF($R18="","",INDEX(tblProjects[顧客名],$R18)&amp;"")</f>
        <v>例示オートメーション株式会社</v>
      </c>
      <c r="F18" s="27" t="n"/>
      <c r="G18" s="28" t="str">
        <f>IF($R18="","",INDEX(tblProjects[責任者],$R18)&amp;"")</f>
        <v>田中</v>
      </c>
      <c r="H18" s="29">
        <f>IF($R18="","",IF(ISNUMBER(INDEX(tblProjects[顧客納期],$R18)),INDEX(tblProjects[顧客納期],$R18),"未設定"))</f>
        <v>46346.0</v>
      </c>
      <c r="I18" s="30">
        <f>IF($R18="","",IF(ISNUMBER(INDEX(tblProjects[残日数],$R18)),INDEX(tblProjects[残日数],$R18),""))</f>
        <v>46</v>
      </c>
      <c r="J18" s="26" t="str">
        <f>IF($R18="","",INDEX(tblProjects[今の工程],$R18)&amp;"")</f>
        <v>制御盤製作（協力会社B）</v>
      </c>
      <c r="K18" s="27" t="n"/>
      <c r="L18" s="27" t="n"/>
      <c r="M18" s="31">
        <f>IF($R18="","",IF(ISNUMBER(INDEX(tblProjects[進捗],$R18)),INDEX(tblProjects[進捗],$R18),""))</f>
        <v>0.216666666666667</v>
      </c>
      <c r="N18" s="32">
        <f>IF($R18="","",IF(ISNUMBER(INDEX(tblProjects[完了見込日],$R18)),INDEX(tblProjects[完了見込日],$R18),""))</f>
        <v>46344.0</v>
      </c>
      <c r="O18" s="26" t="str">
        <f>IF($R18="","",INDEX(tblProjects[納期判定],$R18)&amp;"")</f>
        <v>予定内（予定ベース）</v>
      </c>
      <c r="P18" s="27" t="n"/>
      <c r="Q18" s="27" t="n"/>
      <c r="R18">
        <f>IF(5&gt;COUNTIF(tblProjects[ホーム対象],1),"",IFERROR(MATCH(5,tblProjects[ホーム順位],0),""))</f>
        <v>4</v>
      </c>
    </row>
    <row r="19" ht="30" customHeight="1">
      <c r="B19" s="26" t="str">
        <f>IF($R19="","",INDEX(tblProjects[案件ID],$R19)&amp;" "&amp;INDEX(tblProjects[案件名],$R19))</f>
        <v/>
      </c>
      <c r="C19" s="27" t="n"/>
      <c r="D19" s="27" t="n"/>
      <c r="E19" s="26" t="str">
        <f>IF($R19="","",INDEX(tblProjects[顧客名],$R19)&amp;"")</f>
        <v/>
      </c>
      <c r="F19" s="27" t="n"/>
      <c r="G19" s="28" t="str">
        <f>IF($R19="","",INDEX(tblProjects[責任者],$R19)&amp;"")</f>
        <v/>
      </c>
      <c r="H19" s="29" t="str">
        <f>IF($R19="","",IF(ISNUMBER(INDEX(tblProjects[顧客納期],$R19)),INDEX(tblProjects[顧客納期],$R19),"未設定"))</f>
        <v/>
      </c>
      <c r="I19" s="30" t="str">
        <f>IF($R19="","",IF(ISNUMBER(INDEX(tblProjects[残日数],$R19)),INDEX(tblProjects[残日数],$R19),""))</f>
        <v/>
      </c>
      <c r="J19" s="26" t="str">
        <f>IF($R19="","",INDEX(tblProjects[今の工程],$R19)&amp;"")</f>
        <v/>
      </c>
      <c r="K19" s="27" t="n"/>
      <c r="L19" s="27" t="n"/>
      <c r="M19" s="31" t="str">
        <f>IF($R19="","",IF(ISNUMBER(INDEX(tblProjects[進捗],$R19)),INDEX(tblProjects[進捗],$R19),""))</f>
        <v/>
      </c>
      <c r="N19" s="32" t="str">
        <f>IF($R19="","",IF(ISNUMBER(INDEX(tblProjects[完了見込日],$R19)),INDEX(tblProjects[完了見込日],$R19),""))</f>
        <v/>
      </c>
      <c r="O19" s="26" t="str">
        <f>IF($R19="","",INDEX(tblProjects[納期判定],$R19)&amp;"")</f>
        <v/>
      </c>
      <c r="P19" s="27" t="n"/>
      <c r="Q19" s="27" t="n"/>
      <c r="R19" t="str">
        <f>IF(6&gt;COUNTIF(tblProjects[ホーム対象],1),"",IFERROR(MATCH(6,tblProjects[ホーム順位],0),""))</f>
        <v/>
      </c>
    </row>
    <row r="20" ht="30" customHeight="1">
      <c r="B20" s="26" t="str">
        <f>IF($R20="","",INDEX(tblProjects[案件ID],$R20)&amp;" "&amp;INDEX(tblProjects[案件名],$R20))</f>
        <v/>
      </c>
      <c r="C20" s="27" t="n"/>
      <c r="D20" s="27" t="n"/>
      <c r="E20" s="26" t="str">
        <f>IF($R20="","",INDEX(tblProjects[顧客名],$R20)&amp;"")</f>
        <v/>
      </c>
      <c r="F20" s="27" t="n"/>
      <c r="G20" s="28" t="str">
        <f>IF($R20="","",INDEX(tblProjects[責任者],$R20)&amp;"")</f>
        <v/>
      </c>
      <c r="H20" s="29" t="str">
        <f>IF($R20="","",IF(ISNUMBER(INDEX(tblProjects[顧客納期],$R20)),INDEX(tblProjects[顧客納期],$R20),"未設定"))</f>
        <v/>
      </c>
      <c r="I20" s="30" t="str">
        <f>IF($R20="","",IF(ISNUMBER(INDEX(tblProjects[残日数],$R20)),INDEX(tblProjects[残日数],$R20),""))</f>
        <v/>
      </c>
      <c r="J20" s="26" t="str">
        <f>IF($R20="","",INDEX(tblProjects[今の工程],$R20)&amp;"")</f>
        <v/>
      </c>
      <c r="K20" s="27" t="n"/>
      <c r="L20" s="27" t="n"/>
      <c r="M20" s="31" t="str">
        <f>IF($R20="","",IF(ISNUMBER(INDEX(tblProjects[進捗],$R20)),INDEX(tblProjects[進捗],$R20),""))</f>
        <v/>
      </c>
      <c r="N20" s="32" t="str">
        <f>IF($R20="","",IF(ISNUMBER(INDEX(tblProjects[完了見込日],$R20)),INDEX(tblProjects[完了見込日],$R20),""))</f>
        <v/>
      </c>
      <c r="O20" s="26" t="str">
        <f>IF($R20="","",INDEX(tblProjects[納期判定],$R20)&amp;"")</f>
        <v/>
      </c>
      <c r="P20" s="27" t="n"/>
      <c r="Q20" s="27" t="n"/>
      <c r="R20" t="str">
        <f>IF(7&gt;COUNTIF(tblProjects[ホーム対象],1),"",IFERROR(MATCH(7,tblProjects[ホーム順位],0),""))</f>
        <v/>
      </c>
    </row>
    <row r="21" ht="30" customHeight="1">
      <c r="B21" s="26" t="str">
        <f>IF($R21="","",INDEX(tblProjects[案件ID],$R21)&amp;" "&amp;INDEX(tblProjects[案件名],$R21))</f>
        <v/>
      </c>
      <c r="C21" s="27" t="n"/>
      <c r="D21" s="27" t="n"/>
      <c r="E21" s="26" t="str">
        <f>IF($R21="","",INDEX(tblProjects[顧客名],$R21)&amp;"")</f>
        <v/>
      </c>
      <c r="F21" s="27" t="n"/>
      <c r="G21" s="28" t="str">
        <f>IF($R21="","",INDEX(tblProjects[責任者],$R21)&amp;"")</f>
        <v/>
      </c>
      <c r="H21" s="29" t="str">
        <f>IF($R21="","",IF(ISNUMBER(INDEX(tblProjects[顧客納期],$R21)),INDEX(tblProjects[顧客納期],$R21),"未設定"))</f>
        <v/>
      </c>
      <c r="I21" s="30" t="str">
        <f>IF($R21="","",IF(ISNUMBER(INDEX(tblProjects[残日数],$R21)),INDEX(tblProjects[残日数],$R21),""))</f>
        <v/>
      </c>
      <c r="J21" s="26" t="str">
        <f>IF($R21="","",INDEX(tblProjects[今の工程],$R21)&amp;"")</f>
        <v/>
      </c>
      <c r="K21" s="27" t="n"/>
      <c r="L21" s="27" t="n"/>
      <c r="M21" s="31" t="str">
        <f>IF($R21="","",IF(ISNUMBER(INDEX(tblProjects[進捗],$R21)),INDEX(tblProjects[進捗],$R21),""))</f>
        <v/>
      </c>
      <c r="N21" s="32" t="str">
        <f>IF($R21="","",IF(ISNUMBER(INDEX(tblProjects[完了見込日],$R21)),INDEX(tblProjects[完了見込日],$R21),""))</f>
        <v/>
      </c>
      <c r="O21" s="26" t="str">
        <f>IF($R21="","",INDEX(tblProjects[納期判定],$R21)&amp;"")</f>
        <v/>
      </c>
      <c r="P21" s="27" t="n"/>
      <c r="Q21" s="27" t="n"/>
      <c r="R21" t="str">
        <f>IF(8&gt;COUNTIF(tblProjects[ホーム対象],1),"",IFERROR(MATCH(8,tblProjects[ホーム順位],0),""))</f>
        <v/>
      </c>
    </row>
    <row r="22" ht="30" customHeight="1">
      <c r="B22" s="26" t="str">
        <f>IF($R22="","",INDEX(tblProjects[案件ID],$R22)&amp;" "&amp;INDEX(tblProjects[案件名],$R22))</f>
        <v/>
      </c>
      <c r="C22" s="27" t="n"/>
      <c r="D22" s="27" t="n"/>
      <c r="E22" s="26" t="str">
        <f>IF($R22="","",INDEX(tblProjects[顧客名],$R22)&amp;"")</f>
        <v/>
      </c>
      <c r="F22" s="27" t="n"/>
      <c r="G22" s="28" t="str">
        <f>IF($R22="","",INDEX(tblProjects[責任者],$R22)&amp;"")</f>
        <v/>
      </c>
      <c r="H22" s="29" t="str">
        <f>IF($R22="","",IF(ISNUMBER(INDEX(tblProjects[顧客納期],$R22)),INDEX(tblProjects[顧客納期],$R22),"未設定"))</f>
        <v/>
      </c>
      <c r="I22" s="30" t="str">
        <f>IF($R22="","",IF(ISNUMBER(INDEX(tblProjects[残日数],$R22)),INDEX(tblProjects[残日数],$R22),""))</f>
        <v/>
      </c>
      <c r="J22" s="26" t="str">
        <f>IF($R22="","",INDEX(tblProjects[今の工程],$R22)&amp;"")</f>
        <v/>
      </c>
      <c r="K22" s="27" t="n"/>
      <c r="L22" s="27" t="n"/>
      <c r="M22" s="31" t="str">
        <f>IF($R22="","",IF(ISNUMBER(INDEX(tblProjects[進捗],$R22)),INDEX(tblProjects[進捗],$R22),""))</f>
        <v/>
      </c>
      <c r="N22" s="32" t="str">
        <f>IF($R22="","",IF(ISNUMBER(INDEX(tblProjects[完了見込日],$R22)),INDEX(tblProjects[完了見込日],$R22),""))</f>
        <v/>
      </c>
      <c r="O22" s="26" t="str">
        <f>IF($R22="","",INDEX(tblProjects[納期判定],$R22)&amp;"")</f>
        <v/>
      </c>
      <c r="P22" s="27" t="n"/>
      <c r="Q22" s="27" t="n"/>
      <c r="R22" t="str">
        <f>IF(9&gt;COUNTIF(tblProjects[ホーム対象],1),"",IFERROR(MATCH(9,tblProjects[ホーム順位],0),""))</f>
        <v/>
      </c>
    </row>
    <row r="23" ht="30" customHeight="1">
      <c r="B23" s="26" t="str">
        <f>IF($R23="","",INDEX(tblProjects[案件ID],$R23)&amp;" "&amp;INDEX(tblProjects[案件名],$R23))</f>
        <v/>
      </c>
      <c r="C23" s="27" t="n"/>
      <c r="D23" s="27" t="n"/>
      <c r="E23" s="26" t="str">
        <f>IF($R23="","",INDEX(tblProjects[顧客名],$R23)&amp;"")</f>
        <v/>
      </c>
      <c r="F23" s="27" t="n"/>
      <c r="G23" s="28" t="str">
        <f>IF($R23="","",INDEX(tblProjects[責任者],$R23)&amp;"")</f>
        <v/>
      </c>
      <c r="H23" s="29" t="str">
        <f>IF($R23="","",IF(ISNUMBER(INDEX(tblProjects[顧客納期],$R23)),INDEX(tblProjects[顧客納期],$R23),"未設定"))</f>
        <v/>
      </c>
      <c r="I23" s="30" t="str">
        <f>IF($R23="","",IF(ISNUMBER(INDEX(tblProjects[残日数],$R23)),INDEX(tblProjects[残日数],$R23),""))</f>
        <v/>
      </c>
      <c r="J23" s="26" t="str">
        <f>IF($R23="","",INDEX(tblProjects[今の工程],$R23)&amp;"")</f>
        <v/>
      </c>
      <c r="K23" s="27" t="n"/>
      <c r="L23" s="27" t="n"/>
      <c r="M23" s="31" t="str">
        <f>IF($R23="","",IF(ISNUMBER(INDEX(tblProjects[進捗],$R23)),INDEX(tblProjects[進捗],$R23),""))</f>
        <v/>
      </c>
      <c r="N23" s="32" t="str">
        <f>IF($R23="","",IF(ISNUMBER(INDEX(tblProjects[完了見込日],$R23)),INDEX(tblProjects[完了見込日],$R23),""))</f>
        <v/>
      </c>
      <c r="O23" s="26" t="str">
        <f>IF($R23="","",INDEX(tblProjects[納期判定],$R23)&amp;"")</f>
        <v/>
      </c>
      <c r="P23" s="27" t="n"/>
      <c r="Q23" s="27" t="n"/>
      <c r="R23" t="str">
        <f>IF(10&gt;COUNTIF(tblProjects[ホーム対象],1),"",IFERROR(MATCH(10,tblProjects[ホーム順位],0),""))</f>
        <v/>
      </c>
    </row>
    <row r="24" ht="30" customHeight="1">
      <c r="B24" s="26" t="str">
        <f>IF($R24="","",INDEX(tblProjects[案件ID],$R24)&amp;" "&amp;INDEX(tblProjects[案件名],$R24))</f>
        <v/>
      </c>
      <c r="C24" s="27" t="n"/>
      <c r="D24" s="27" t="n"/>
      <c r="E24" s="26" t="str">
        <f>IF($R24="","",INDEX(tblProjects[顧客名],$R24)&amp;"")</f>
        <v/>
      </c>
      <c r="F24" s="27" t="n"/>
      <c r="G24" s="28" t="str">
        <f>IF($R24="","",INDEX(tblProjects[責任者],$R24)&amp;"")</f>
        <v/>
      </c>
      <c r="H24" s="29" t="str">
        <f>IF($R24="","",IF(ISNUMBER(INDEX(tblProjects[顧客納期],$R24)),INDEX(tblProjects[顧客納期],$R24),"未設定"))</f>
        <v/>
      </c>
      <c r="I24" s="30" t="str">
        <f>IF($R24="","",IF(ISNUMBER(INDEX(tblProjects[残日数],$R24)),INDEX(tblProjects[残日数],$R24),""))</f>
        <v/>
      </c>
      <c r="J24" s="26" t="str">
        <f>IF($R24="","",INDEX(tblProjects[今の工程],$R24)&amp;"")</f>
        <v/>
      </c>
      <c r="K24" s="27" t="n"/>
      <c r="L24" s="27" t="n"/>
      <c r="M24" s="31" t="str">
        <f>IF($R24="","",IF(ISNUMBER(INDEX(tblProjects[進捗],$R24)),INDEX(tblProjects[進捗],$R24),""))</f>
        <v/>
      </c>
      <c r="N24" s="32" t="str">
        <f>IF($R24="","",IF(ISNUMBER(INDEX(tblProjects[完了見込日],$R24)),INDEX(tblProjects[完了見込日],$R24),""))</f>
        <v/>
      </c>
      <c r="O24" s="26" t="str">
        <f>IF($R24="","",INDEX(tblProjects[納期判定],$R24)&amp;"")</f>
        <v/>
      </c>
      <c r="P24" s="27" t="n"/>
      <c r="Q24" s="27" t="n"/>
      <c r="R24" t="str">
        <f>IF(11&gt;COUNTIF(tblProjects[ホーム対象],1),"",IFERROR(MATCH(11,tblProjects[ホーム順位],0),""))</f>
        <v/>
      </c>
    </row>
    <row r="25" ht="30" customHeight="1">
      <c r="B25" s="26" t="str">
        <f>IF($R25="","",INDEX(tblProjects[案件ID],$R25)&amp;" "&amp;INDEX(tblProjects[案件名],$R25))</f>
        <v/>
      </c>
      <c r="C25" s="27" t="n"/>
      <c r="D25" s="27" t="n"/>
      <c r="E25" s="26" t="str">
        <f>IF($R25="","",INDEX(tblProjects[顧客名],$R25)&amp;"")</f>
        <v/>
      </c>
      <c r="F25" s="27" t="n"/>
      <c r="G25" s="28" t="str">
        <f>IF($R25="","",INDEX(tblProjects[責任者],$R25)&amp;"")</f>
        <v/>
      </c>
      <c r="H25" s="29" t="str">
        <f>IF($R25="","",IF(ISNUMBER(INDEX(tblProjects[顧客納期],$R25)),INDEX(tblProjects[顧客納期],$R25),"未設定"))</f>
        <v/>
      </c>
      <c r="I25" s="30" t="str">
        <f>IF($R25="","",IF(ISNUMBER(INDEX(tblProjects[残日数],$R25)),INDEX(tblProjects[残日数],$R25),""))</f>
        <v/>
      </c>
      <c r="J25" s="26" t="str">
        <f>IF($R25="","",INDEX(tblProjects[今の工程],$R25)&amp;"")</f>
        <v/>
      </c>
      <c r="K25" s="27" t="n"/>
      <c r="L25" s="27" t="n"/>
      <c r="M25" s="31" t="str">
        <f>IF($R25="","",IF(ISNUMBER(INDEX(tblProjects[進捗],$R25)),INDEX(tblProjects[進捗],$R25),""))</f>
        <v/>
      </c>
      <c r="N25" s="32" t="str">
        <f>IF($R25="","",IF(ISNUMBER(INDEX(tblProjects[完了見込日],$R25)),INDEX(tblProjects[完了見込日],$R25),""))</f>
        <v/>
      </c>
      <c r="O25" s="26" t="str">
        <f>IF($R25="","",INDEX(tblProjects[納期判定],$R25)&amp;"")</f>
        <v/>
      </c>
      <c r="P25" s="27" t="n"/>
      <c r="Q25" s="27" t="n"/>
      <c r="R25" t="str">
        <f>IF(12&gt;COUNTIF(tblProjects[ホーム対象],1),"",IFERROR(MATCH(12,tblProjects[ホーム順位],0),""))</f>
        <v/>
      </c>
    </row>
    <row r="26" ht="30" customHeight="1">
      <c r="B26" s="26" t="str">
        <f>IF($R26="","",INDEX(tblProjects[案件ID],$R26)&amp;" "&amp;INDEX(tblProjects[案件名],$R26))</f>
        <v/>
      </c>
      <c r="C26" s="27" t="n"/>
      <c r="D26" s="27" t="n"/>
      <c r="E26" s="26" t="str">
        <f>IF($R26="","",INDEX(tblProjects[顧客名],$R26)&amp;"")</f>
        <v/>
      </c>
      <c r="F26" s="27" t="n"/>
      <c r="G26" s="28" t="str">
        <f>IF($R26="","",INDEX(tblProjects[責任者],$R26)&amp;"")</f>
        <v/>
      </c>
      <c r="H26" s="29" t="str">
        <f>IF($R26="","",IF(ISNUMBER(INDEX(tblProjects[顧客納期],$R26)),INDEX(tblProjects[顧客納期],$R26),"未設定"))</f>
        <v/>
      </c>
      <c r="I26" s="30" t="str">
        <f>IF($R26="","",IF(ISNUMBER(INDEX(tblProjects[残日数],$R26)),INDEX(tblProjects[残日数],$R26),""))</f>
        <v/>
      </c>
      <c r="J26" s="26" t="str">
        <f>IF($R26="","",INDEX(tblProjects[今の工程],$R26)&amp;"")</f>
        <v/>
      </c>
      <c r="K26" s="27" t="n"/>
      <c r="L26" s="27" t="n"/>
      <c r="M26" s="31" t="str">
        <f>IF($R26="","",IF(ISNUMBER(INDEX(tblProjects[進捗],$R26)),INDEX(tblProjects[進捗],$R26),""))</f>
        <v/>
      </c>
      <c r="N26" s="32" t="str">
        <f>IF($R26="","",IF(ISNUMBER(INDEX(tblProjects[完了見込日],$R26)),INDEX(tblProjects[完了見込日],$R26),""))</f>
        <v/>
      </c>
      <c r="O26" s="26" t="str">
        <f>IF($R26="","",INDEX(tblProjects[納期判定],$R26)&amp;"")</f>
        <v/>
      </c>
      <c r="P26" s="27" t="n"/>
      <c r="Q26" s="27" t="n"/>
      <c r="R26" t="str">
        <f>IF(13&gt;COUNTIF(tblProjects[ホーム対象],1),"",IFERROR(MATCH(13,tblProjects[ホーム順位],0),""))</f>
        <v/>
      </c>
    </row>
    <row r="27" ht="30" customHeight="1">
      <c r="B27" s="26" t="str">
        <f>IF($R27="","",INDEX(tblProjects[案件ID],$R27)&amp;" "&amp;INDEX(tblProjects[案件名],$R27))</f>
        <v/>
      </c>
      <c r="C27" s="27" t="n"/>
      <c r="D27" s="27" t="n"/>
      <c r="E27" s="26" t="str">
        <f>IF($R27="","",INDEX(tblProjects[顧客名],$R27)&amp;"")</f>
        <v/>
      </c>
      <c r="F27" s="27" t="n"/>
      <c r="G27" s="28" t="str">
        <f>IF($R27="","",INDEX(tblProjects[責任者],$R27)&amp;"")</f>
        <v/>
      </c>
      <c r="H27" s="29" t="str">
        <f>IF($R27="","",IF(ISNUMBER(INDEX(tblProjects[顧客納期],$R27)),INDEX(tblProjects[顧客納期],$R27),"未設定"))</f>
        <v/>
      </c>
      <c r="I27" s="30" t="str">
        <f>IF($R27="","",IF(ISNUMBER(INDEX(tblProjects[残日数],$R27)),INDEX(tblProjects[残日数],$R27),""))</f>
        <v/>
      </c>
      <c r="J27" s="26" t="str">
        <f>IF($R27="","",INDEX(tblProjects[今の工程],$R27)&amp;"")</f>
        <v/>
      </c>
      <c r="K27" s="27" t="n"/>
      <c r="L27" s="27" t="n"/>
      <c r="M27" s="31" t="str">
        <f>IF($R27="","",IF(ISNUMBER(INDEX(tblProjects[進捗],$R27)),INDEX(tblProjects[進捗],$R27),""))</f>
        <v/>
      </c>
      <c r="N27" s="32" t="str">
        <f>IF($R27="","",IF(ISNUMBER(INDEX(tblProjects[完了見込日],$R27)),INDEX(tblProjects[完了見込日],$R27),""))</f>
        <v/>
      </c>
      <c r="O27" s="26" t="str">
        <f>IF($R27="","",INDEX(tblProjects[納期判定],$R27)&amp;"")</f>
        <v/>
      </c>
      <c r="P27" s="27" t="n"/>
      <c r="Q27" s="27" t="n"/>
      <c r="R27" t="str">
        <f>IF(14&gt;COUNTIF(tblProjects[ホーム対象],1),"",IFERROR(MATCH(14,tblProjects[ホーム順位],0),""))</f>
        <v/>
      </c>
    </row>
    <row r="28" ht="30" customHeight="1">
      <c r="B28" s="26" t="str">
        <f>IF($R28="","",INDEX(tblProjects[案件ID],$R28)&amp;" "&amp;INDEX(tblProjects[案件名],$R28))</f>
        <v/>
      </c>
      <c r="C28" s="27" t="n"/>
      <c r="D28" s="27" t="n"/>
      <c r="E28" s="26" t="str">
        <f>IF($R28="","",INDEX(tblProjects[顧客名],$R28)&amp;"")</f>
        <v/>
      </c>
      <c r="F28" s="27" t="n"/>
      <c r="G28" s="28" t="str">
        <f>IF($R28="","",INDEX(tblProjects[責任者],$R28)&amp;"")</f>
        <v/>
      </c>
      <c r="H28" s="29" t="str">
        <f>IF($R28="","",IF(ISNUMBER(INDEX(tblProjects[顧客納期],$R28)),INDEX(tblProjects[顧客納期],$R28),"未設定"))</f>
        <v/>
      </c>
      <c r="I28" s="30" t="str">
        <f>IF($R28="","",IF(ISNUMBER(INDEX(tblProjects[残日数],$R28)),INDEX(tblProjects[残日数],$R28),""))</f>
        <v/>
      </c>
      <c r="J28" s="26" t="str">
        <f>IF($R28="","",INDEX(tblProjects[今の工程],$R28)&amp;"")</f>
        <v/>
      </c>
      <c r="K28" s="27" t="n"/>
      <c r="L28" s="27" t="n"/>
      <c r="M28" s="31" t="str">
        <f>IF($R28="","",IF(ISNUMBER(INDEX(tblProjects[進捗],$R28)),INDEX(tblProjects[進捗],$R28),""))</f>
        <v/>
      </c>
      <c r="N28" s="32" t="str">
        <f>IF($R28="","",IF(ISNUMBER(INDEX(tblProjects[完了見込日],$R28)),INDEX(tblProjects[完了見込日],$R28),""))</f>
        <v/>
      </c>
      <c r="O28" s="26" t="str">
        <f>IF($R28="","",INDEX(tblProjects[納期判定],$R28)&amp;"")</f>
        <v/>
      </c>
      <c r="P28" s="27" t="n"/>
      <c r="Q28" s="27" t="n"/>
      <c r="R28" t="str">
        <f>IF(15&gt;COUNTIF(tblProjects[ホーム対象],1),"",IFERROR(MATCH(15,tblProjects[ホーム順位],0),""))</f>
        <v/>
      </c>
    </row>
    <row r="29" ht="18" customHeight="1">
      <c r="B29" s="33" t="str">
        <f>IF(COUNTIF(tblProjects[ホーム対象],1)&gt;15,"▲ ほか "&amp;(COUNTIF(tblProjects[ホーム対象],1)-15)&amp;" 件あります。「02_案件マスター」で確認してください。","")</f>
        <v/>
      </c>
    </row>
    <row r="31" ht="24" customHeight="1">
      <c r="B31" s="22" t="inlineStr">
        <is>
          <t>② 遅れ・注意がある未完了の工程（重要な順）</t>
        </is>
      </c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3" t="str">
        <f>"表示 "&amp;MIN(12,COUNTIF(tblSteps[ホーム注意対象],1))&amp;" 件／対象 "&amp;COUNTIF(tblSteps[ホーム注意対象],1)&amp;" 件"</f>
        <v>表示 10 件／対象 10 件</v>
      </c>
    </row>
    <row r="32" ht="20" customHeight="1">
      <c r="B32" s="24" t="inlineStr">
        <is>
          <t>注意</t>
        </is>
      </c>
      <c r="C32" s="25" t="n"/>
      <c r="D32" s="24" t="inlineStr">
        <is>
          <t>案件</t>
        </is>
      </c>
      <c r="E32" s="25" t="n"/>
      <c r="F32" s="24" t="inlineStr">
        <is>
          <t>工程</t>
        </is>
      </c>
      <c r="G32" s="25" t="n"/>
      <c r="H32" s="24" t="inlineStr">
        <is>
          <t>担当</t>
        </is>
      </c>
      <c r="I32" s="24" t="inlineStr">
        <is>
          <t>計画終了</t>
        </is>
      </c>
      <c r="J32" s="24" t="inlineStr">
        <is>
          <t>完了見込</t>
        </is>
      </c>
      <c r="K32" s="24" t="inlineStr">
        <is>
          <t>状態・進捗</t>
        </is>
      </c>
      <c r="L32" s="25" t="n"/>
      <c r="M32" s="24" t="inlineStr">
        <is>
          <t>詳細</t>
        </is>
      </c>
      <c r="N32" s="25" t="n"/>
      <c r="O32" s="25" t="n"/>
      <c r="P32" s="25" t="n"/>
      <c r="Q32" s="25" t="n"/>
    </row>
    <row r="33" ht="30" customHeight="1">
      <c r="B33" s="28" t="str">
        <f>IF($R33="",IF(COUNTIF(tblSteps[ホーム注意対象],1)=0,"該当なし",""),INDEX(tblSteps[注意短],$R33)&amp;"")</f>
        <v>期限超過4日</v>
      </c>
      <c r="C33" s="27" t="n"/>
      <c r="D33" s="26" t="str">
        <f>IF($R33="","",INDEX(tblSteps[案件ID],$R33)&amp;" "&amp;INDEX(tblSteps[案件名],$R33))</f>
        <v>A0023 定期保守点検（年2回）</v>
      </c>
      <c r="E33" s="27" t="n"/>
      <c r="F33" s="26" t="str">
        <f>IF($R33="","",INDEX(tblSteps[工程名],$R33)&amp;"")</f>
        <v>点検作業</v>
      </c>
      <c r="G33" s="27" t="n"/>
      <c r="H33" s="28" t="str">
        <f>IF($R33="","",INDEX(tblSteps[担当],$R33)&amp;"")</f>
        <v>渡辺</v>
      </c>
      <c r="I33" s="32">
        <f>IF($R33="","",IF(ISNUMBER(INDEX(tblSteps[計画終了日],$R33)),INDEX(tblSteps[計画終了日],$R33),"未入力"))</f>
        <v>46296.0</v>
      </c>
      <c r="J33" s="32" t="str">
        <f>IF($R33="","",IF(ISNUMBER(INDEX(tblSteps[完了見込日],$R33)),INDEX(tblSteps[完了見込日],$R33),""))</f>
        <v/>
      </c>
      <c r="K33" s="26" t="str">
        <f>IF($R33="","",INDEX(tblSteps[状態],$R33)&amp;IF(ISNUMBER(INDEX(tblSteps[進捗率],$R33))," "&amp;TEXT(INDEX(tblSteps[進捗率],$R33),"0%"),""))</f>
        <v>進行中 80%</v>
      </c>
      <c r="L33" s="27" t="n"/>
      <c r="M33" s="26" t="str">
        <f>IF($R33="","",INDEX(tblSteps[注意],$R33)&amp;"")</f>
        <v>工程期限超過4日／顧客納期より遅い見込</v>
      </c>
      <c r="N33" s="27" t="n"/>
      <c r="O33" s="27" t="n"/>
      <c r="P33" s="27" t="n"/>
      <c r="Q33" s="27" t="n"/>
      <c r="R33">
        <f>IF(1&gt;COUNTIF(tblSteps[ホーム注意対象],1),"",IFERROR(MATCH(1,tblSteps[ホーム注意順位],0),""))</f>
        <v>22</v>
      </c>
    </row>
    <row r="34" ht="30" customHeight="1">
      <c r="B34" s="28" t="str">
        <f>IF($R34="","",INDEX(tblSteps[注意短],$R34)&amp;"")</f>
        <v>期限超過3日</v>
      </c>
      <c r="C34" s="27" t="n"/>
      <c r="D34" s="26" t="str">
        <f>IF($R34="","",INDEX(tblSteps[案件ID],$R34)&amp;" "&amp;INDEX(tblSteps[案件名],$R34))</f>
        <v>A0023 定期保守点検（年2回）</v>
      </c>
      <c r="E34" s="27" t="n"/>
      <c r="F34" s="26" t="str">
        <f>IF($R34="","",INDEX(tblSteps[工程名],$R34)&amp;"")</f>
        <v>報告書の提出</v>
      </c>
      <c r="G34" s="27" t="n"/>
      <c r="H34" s="28" t="str">
        <f>IF($R34="","",INDEX(tblSteps[担当],$R34)&amp;"")</f>
        <v>渡辺</v>
      </c>
      <c r="I34" s="32">
        <f>IF($R34="","",IF(ISNUMBER(INDEX(tblSteps[計画終了日],$R34)),INDEX(tblSteps[計画終了日],$R34),"未入力"))</f>
        <v>46297.0</v>
      </c>
      <c r="J34" s="32" t="str">
        <f>IF($R34="","",IF(ISNUMBER(INDEX(tblSteps[完了見込日],$R34)),INDEX(tblSteps[完了見込日],$R34),""))</f>
        <v/>
      </c>
      <c r="K34" s="26" t="str">
        <f>IF($R34="","",INDEX(tblSteps[状態],$R34)&amp;IF(ISNUMBER(INDEX(tblSteps[進捗率],$R34))," "&amp;TEXT(INDEX(tblSteps[進捗率],$R34),"0%"),""))</f>
        <v>未着手 0%</v>
      </c>
      <c r="L34" s="27" t="n"/>
      <c r="M34" s="26" t="str">
        <f>IF($R34="","",INDEX(tblSteps[注意],$R34)&amp;"")</f>
        <v>工程期限超過3日／顧客納期より遅い見込</v>
      </c>
      <c r="N34" s="27" t="n"/>
      <c r="O34" s="27" t="n"/>
      <c r="P34" s="27" t="n"/>
      <c r="Q34" s="27" t="n"/>
      <c r="R34">
        <f>IF(2&gt;COUNTIF(tblSteps[ホーム注意対象],1),"",IFERROR(MATCH(2,tblSteps[ホーム注意順位],0),""))</f>
        <v>23</v>
      </c>
    </row>
    <row r="35" ht="30" customHeight="1">
      <c r="B35" s="28" t="str">
        <f>IF($R35="","",INDEX(tblSteps[注意短],$R35)&amp;"")</f>
        <v>納期遅れ見込</v>
      </c>
      <c r="C35" s="27" t="n"/>
      <c r="D35" s="26" t="str">
        <f>IF($R35="","",INDEX(tblSteps[案件ID],$R35)&amp;" "&amp;INDEX(tblSteps[案件名],$R35))</f>
        <v>A0023 定期保守点検（年2回）</v>
      </c>
      <c r="E35" s="27" t="n"/>
      <c r="F35" s="26" t="str">
        <f>IF($R35="","",INDEX(tblSteps[工程名],$R35)&amp;"")</f>
        <v>報告会</v>
      </c>
      <c r="G35" s="27" t="n"/>
      <c r="H35" s="28" t="str">
        <f>IF($R35="","",INDEX(tblSteps[担当],$R35)&amp;"")</f>
        <v>渡辺</v>
      </c>
      <c r="I35" s="32">
        <f>IF($R35="","",IF(ISNUMBER(INDEX(tblSteps[計画終了日],$R35)),INDEX(tblSteps[計画終了日],$R35),"未入力"))</f>
        <v>46302.0</v>
      </c>
      <c r="J35" s="32" t="str">
        <f>IF($R35="","",IF(ISNUMBER(INDEX(tblSteps[完了見込日],$R35)),INDEX(tblSteps[完了見込日],$R35),""))</f>
        <v/>
      </c>
      <c r="K35" s="26" t="str">
        <f>IF($R35="","",INDEX(tblSteps[状態],$R35)&amp;IF(ISNUMBER(INDEX(tblSteps[進捗率],$R35))," "&amp;TEXT(INDEX(tblSteps[進捗率],$R35),"0%"),""))</f>
        <v>未着手 0%</v>
      </c>
      <c r="L35" s="27" t="n"/>
      <c r="M35" s="26" t="str">
        <f>IF($R35="","",INDEX(tblSteps[注意],$R35)&amp;"")</f>
        <v>顧客納期より遅い見込</v>
      </c>
      <c r="N35" s="27" t="n"/>
      <c r="O35" s="27" t="n"/>
      <c r="P35" s="27" t="n"/>
      <c r="Q35" s="27" t="n"/>
      <c r="R35">
        <f>IF(3&gt;COUNTIF(tblSteps[ホーム注意対象],1),"",IFERROR(MATCH(3,tblSteps[ホーム注意順位],0),""))</f>
        <v>29</v>
      </c>
    </row>
    <row r="36" ht="30" customHeight="1">
      <c r="B36" s="28" t="str">
        <f>IF($R36="","",INDEX(tblSteps[注意短],$R36)&amp;"")</f>
        <v>納期遅れ見込</v>
      </c>
      <c r="C36" s="27" t="n"/>
      <c r="D36" s="26" t="str">
        <f>IF($R36="","",INDEX(tblSteps[案件ID],$R36)&amp;" "&amp;INDEX(tblSteps[案件名],$R36))</f>
        <v>A0021 自動倉庫コンベヤ増設工事</v>
      </c>
      <c r="E36" s="27" t="n"/>
      <c r="F36" s="26" t="str">
        <f>IF($R36="","",INDEX(tblSteps[工程名],$R36)&amp;"")</f>
        <v>試運転調整</v>
      </c>
      <c r="G36" s="27" t="n"/>
      <c r="H36" s="28" t="str">
        <f>IF($R36="","",INDEX(tblSteps[担当],$R36)&amp;"")</f>
        <v>高橋</v>
      </c>
      <c r="I36" s="32">
        <f>IF($R36="","",IF(ISNUMBER(INDEX(tblSteps[計画終了日],$R36)),INDEX(tblSteps[計画終了日],$R36),"未入力"))</f>
        <v>46328.0</v>
      </c>
      <c r="J36" s="32" t="str">
        <f>IF($R36="","",IF(ISNUMBER(INDEX(tblSteps[完了見込日],$R36)),INDEX(tblSteps[完了見込日],$R36),""))</f>
        <v/>
      </c>
      <c r="K36" s="26" t="str">
        <f>IF($R36="","",INDEX(tblSteps[状態],$R36)&amp;IF(ISNUMBER(INDEX(tblSteps[進捗率],$R36))," "&amp;TEXT(INDEX(tblSteps[進捗率],$R36),"0%"),""))</f>
        <v>未着手 0%</v>
      </c>
      <c r="L36" s="27" t="n"/>
      <c r="M36" s="26" t="str">
        <f>IF($R36="","",INDEX(tblSteps[注意],$R36)&amp;"")</f>
        <v>顧客納期より遅い見込</v>
      </c>
      <c r="N36" s="27" t="n"/>
      <c r="O36" s="27" t="n"/>
      <c r="P36" s="27" t="n"/>
      <c r="Q36" s="27" t="n"/>
      <c r="R36">
        <f>IF(4&gt;COUNTIF(tblSteps[ホーム注意対象],1),"",IFERROR(MATCH(4,tblSteps[ホーム注意順位],0),""))</f>
        <v>15</v>
      </c>
    </row>
    <row r="37" ht="30" customHeight="1">
      <c r="B37" s="28" t="str">
        <f>IF($R37="","",INDEX(tblSteps[注意短],$R37)&amp;"")</f>
        <v>見込+2日</v>
      </c>
      <c r="C37" s="27" t="n"/>
      <c r="D37" s="26" t="str">
        <f>IF($R37="","",INDEX(tblSteps[案件ID],$R37)&amp;" "&amp;INDEX(tblSteps[案件名],$R37))</f>
        <v>A0008 工作機械の搬入・据付</v>
      </c>
      <c r="E37" s="27" t="n"/>
      <c r="F37" s="26" t="str">
        <f>IF($R37="","",INDEX(tblSteps[工程名],$R37)&amp;"")</f>
        <v>基礎工事</v>
      </c>
      <c r="G37" s="27" t="n"/>
      <c r="H37" s="28" t="str">
        <f>IF($R37="","",INDEX(tblSteps[担当],$R37)&amp;"")</f>
        <v>協力会社A</v>
      </c>
      <c r="I37" s="32">
        <f>IF($R37="","",IF(ISNUMBER(INDEX(tblSteps[計画終了日],$R37)),INDEX(tblSteps[計画終了日],$R37),"未入力"))</f>
        <v>46302.0</v>
      </c>
      <c r="J37" s="32">
        <f>IF($R37="","",IF(ISNUMBER(INDEX(tblSteps[完了見込日],$R37)),INDEX(tblSteps[完了見込日],$R37),""))</f>
        <v>46304.0</v>
      </c>
      <c r="K37" s="26" t="str">
        <f>IF($R37="","",INDEX(tblSteps[状態],$R37)&amp;IF(ISNUMBER(INDEX(tblSteps[進捗率],$R37))," "&amp;TEXT(INDEX(tblSteps[進捗率],$R37),"0%"),""))</f>
        <v>進行中 60%</v>
      </c>
      <c r="L37" s="27" t="n"/>
      <c r="M37" s="26" t="str">
        <f>IF($R37="","",INDEX(tblSteps[注意],$R37)&amp;"")</f>
        <v>見込が計画より2日遅い</v>
      </c>
      <c r="N37" s="27" t="n"/>
      <c r="O37" s="27" t="n"/>
      <c r="P37" s="27" t="n"/>
      <c r="Q37" s="27" t="n"/>
      <c r="R37">
        <f>IF(5&gt;COUNTIF(tblSteps[ホーム注意対象],1),"",IFERROR(MATCH(5,tblSteps[ホーム注意順位],0),""))</f>
        <v>3</v>
      </c>
    </row>
    <row r="38" ht="30" customHeight="1">
      <c r="B38" s="28" t="str">
        <f>IF($R38="","",INDEX(tblSteps[注意短],$R38)&amp;"")</f>
        <v>見込+7日</v>
      </c>
      <c r="C38" s="27" t="n"/>
      <c r="D38" s="26" t="str">
        <f>IF($R38="","",INDEX(tblSteps[案件ID],$R38)&amp;" "&amp;INDEX(tblSteps[案件名],$R38))</f>
        <v>A0022 制御盤更新工事</v>
      </c>
      <c r="E38" s="27" t="n"/>
      <c r="F38" s="26" t="str">
        <f>IF($R38="","",INDEX(tblSteps[工程名],$R38)&amp;"")</f>
        <v>制御盤製作</v>
      </c>
      <c r="G38" s="27" t="n"/>
      <c r="H38" s="28" t="str">
        <f>IF($R38="","",INDEX(tblSteps[担当],$R38)&amp;"")</f>
        <v>協力会社B</v>
      </c>
      <c r="I38" s="32">
        <f>IF($R38="","",IF(ISNUMBER(INDEX(tblSteps[計画終了日],$R38)),INDEX(tblSteps[計画終了日],$R38),"未入力"))</f>
        <v>46325.0</v>
      </c>
      <c r="J38" s="32">
        <f>IF($R38="","",IF(ISNUMBER(INDEX(tblSteps[完了見込日],$R38)),INDEX(tblSteps[完了見込日],$R38),""))</f>
        <v>46332.0</v>
      </c>
      <c r="K38" s="26" t="str">
        <f>IF($R38="","",INDEX(tblSteps[状態],$R38)&amp;IF(ISNUMBER(INDEX(tblSteps[進捗率],$R38))," "&amp;TEXT(INDEX(tblSteps[進捗率],$R38),"0%"),""))</f>
        <v>進行中 20%</v>
      </c>
      <c r="L38" s="27" t="n"/>
      <c r="M38" s="26" t="str">
        <f>IF($R38="","",INDEX(tblSteps[注意],$R38)&amp;"")</f>
        <v>見込が計画より7日遅い</v>
      </c>
      <c r="N38" s="27" t="n"/>
      <c r="O38" s="27" t="n"/>
      <c r="P38" s="27" t="n"/>
      <c r="Q38" s="27" t="n"/>
      <c r="R38">
        <f>IF(6&gt;COUNTIF(tblSteps[ホーム注意対象],1),"",IFERROR(MATCH(6,tblSteps[ホーム注意順位],0),""))</f>
        <v>17</v>
      </c>
    </row>
    <row r="39" ht="30" customHeight="1">
      <c r="B39" s="28" t="str">
        <f>IF($R39="","",INDEX(tblSteps[注意短],$R39)&amp;"")</f>
        <v>重複の可能性</v>
      </c>
      <c r="C39" s="27" t="n"/>
      <c r="D39" s="26" t="str">
        <f>IF($R39="","",INDEX(tblSteps[案件ID],$R39)&amp;" "&amp;INDEX(tblSteps[案件名],$R39))</f>
        <v>A0020 スポット修理（搬送装置）</v>
      </c>
      <c r="E39" s="27" t="n"/>
      <c r="F39" s="26" t="str">
        <f>IF($R39="","",INDEX(tblSteps[工程名],$R39)&amp;"")</f>
        <v>修理作業</v>
      </c>
      <c r="G39" s="27" t="n"/>
      <c r="H39" s="28" t="str">
        <f>IF($R39="","",INDEX(tblSteps[担当],$R39)&amp;"")</f>
        <v>伊藤</v>
      </c>
      <c r="I39" s="32">
        <f>IF($R39="","",IF(ISNUMBER(INDEX(tblSteps[計画終了日],$R39)),INDEX(tblSteps[計画終了日],$R39),"未入力"))</f>
        <v>46300.0</v>
      </c>
      <c r="J39" s="32" t="str">
        <f>IF($R39="","",IF(ISNUMBER(INDEX(tblSteps[完了見込日],$R39)),INDEX(tblSteps[完了見込日],$R39),""))</f>
        <v/>
      </c>
      <c r="K39" s="26" t="str">
        <f>IF($R39="","",INDEX(tblSteps[状態],$R39)&amp;IF(ISNUMBER(INDEX(tblSteps[進捗率],$R39))," "&amp;TEXT(INDEX(tblSteps[進捗率],$R39),"0%"),""))</f>
        <v>進行中 30%</v>
      </c>
      <c r="L39" s="27" t="n"/>
      <c r="M39" s="26" t="str">
        <f>IF($R39="","",INDEX(tblSteps[注意],$R39)&amp;"")</f>
        <v>予定重複の可能性（伊藤）</v>
      </c>
      <c r="N39" s="27" t="n"/>
      <c r="O39" s="27" t="n"/>
      <c r="P39" s="27" t="n"/>
      <c r="Q39" s="27" t="n"/>
      <c r="R39">
        <f>IF(7&gt;COUNTIF(tblSteps[ホーム注意対象],1),"",IFERROR(MATCH(7,tblSteps[ホーム注意順位],0),""))</f>
        <v>8</v>
      </c>
    </row>
    <row r="40" ht="30" customHeight="1">
      <c r="B40" s="28" t="str">
        <f>IF($R40="","",INDEX(tblSteps[注意短],$R40)&amp;"")</f>
        <v>重複の可能性</v>
      </c>
      <c r="C40" s="27" t="n"/>
      <c r="D40" s="26" t="str">
        <f>IF($R40="","",INDEX(tblSteps[案件ID],$R40)&amp;" "&amp;INDEX(tblSteps[案件名],$R40))</f>
        <v>A0020 スポット修理（搬送装置）</v>
      </c>
      <c r="E40" s="27" t="n"/>
      <c r="F40" s="26" t="str">
        <f>IF($R40="","",INDEX(tblSteps[工程名],$R40)&amp;"")</f>
        <v>追加見積の打合せ</v>
      </c>
      <c r="G40" s="27" t="n"/>
      <c r="H40" s="28" t="str">
        <f>IF($R40="","",INDEX(tblSteps[担当],$R40)&amp;"")</f>
        <v>伊藤</v>
      </c>
      <c r="I40" s="32">
        <f>IF($R40="","",IF(ISNUMBER(INDEX(tblSteps[計画終了日],$R40)),INDEX(tblSteps[計画終了日],$R40),"未入力"))</f>
        <v>46300.0</v>
      </c>
      <c r="J40" s="32" t="str">
        <f>IF($R40="","",IF(ISNUMBER(INDEX(tblSteps[完了見込日],$R40)),INDEX(tblSteps[完了見込日],$R40),""))</f>
        <v/>
      </c>
      <c r="K40" s="26" t="str">
        <f>IF($R40="","",INDEX(tblSteps[状態],$R40)&amp;IF(ISNUMBER(INDEX(tblSteps[進捗率],$R40))," "&amp;TEXT(INDEX(tblSteps[進捗率],$R40),"0%"),""))</f>
        <v>未着手 0%</v>
      </c>
      <c r="L40" s="27" t="n"/>
      <c r="M40" s="26" t="str">
        <f>IF($R40="","",INDEX(tblSteps[注意],$R40)&amp;"")</f>
        <v>予定重複の可能性（伊藤）</v>
      </c>
      <c r="N40" s="27" t="n"/>
      <c r="O40" s="27" t="n"/>
      <c r="P40" s="27" t="n"/>
      <c r="Q40" s="27" t="n"/>
      <c r="R40">
        <f>IF(8&gt;COUNTIF(tblSteps[ホーム注意対象],1),"",IFERROR(MATCH(8,tblSteps[ホーム注意順位],0),""))</f>
        <v>24</v>
      </c>
    </row>
    <row r="41" ht="30" customHeight="1">
      <c r="B41" s="28" t="str">
        <f>IF($R41="","",INDEX(tblSteps[注意短],$R41)&amp;"")</f>
        <v>重複の可能性</v>
      </c>
      <c r="C41" s="27" t="n"/>
      <c r="D41" s="26" t="str">
        <f>IF($R41="","",INDEX(tblSteps[案件ID],$R41)&amp;" "&amp;INDEX(tblSteps[案件名],$R41))</f>
        <v>A0022 制御盤更新工事</v>
      </c>
      <c r="E41" s="27" t="n"/>
      <c r="F41" s="26" t="str">
        <f>IF($R41="","",INDEX(tblSteps[工程名],$R41)&amp;"")</f>
        <v>追加工事の現地調査</v>
      </c>
      <c r="G41" s="27" t="n"/>
      <c r="H41" s="28" t="str">
        <f>IF($R41="","",INDEX(tblSteps[担当],$R41)&amp;"")</f>
        <v>田中</v>
      </c>
      <c r="I41" s="32">
        <f>IF($R41="","",IF(ISNUMBER(INDEX(tblSteps[計画終了日],$R41)),INDEX(tblSteps[計画終了日],$R41),"未入力"))</f>
        <v>46303.0</v>
      </c>
      <c r="J41" s="32" t="str">
        <f>IF($R41="","",IF(ISNUMBER(INDEX(tblSteps[完了見込日],$R41)),INDEX(tblSteps[完了見込日],$R41),""))</f>
        <v/>
      </c>
      <c r="K41" s="26" t="str">
        <f>IF($R41="","",INDEX(tblSteps[状態],$R41)&amp;IF(ISNUMBER(INDEX(tblSteps[進捗率],$R41))," "&amp;TEXT(INDEX(tblSteps[進捗率],$R41),"0%"),""))</f>
        <v>未着手 0%</v>
      </c>
      <c r="L41" s="27" t="n"/>
      <c r="M41" s="26" t="str">
        <f>IF($R41="","",INDEX(tblSteps[注意],$R41)&amp;"")</f>
        <v>予定重複の可能性（田中）</v>
      </c>
      <c r="N41" s="27" t="n"/>
      <c r="O41" s="27" t="n"/>
      <c r="P41" s="27" t="n"/>
      <c r="Q41" s="27" t="n"/>
      <c r="R41">
        <f>IF(9&gt;COUNTIF(tblSteps[ホーム注意対象],1),"",IFERROR(MATCH(9,tblSteps[ホーム注意順位],0),""))</f>
        <v>30</v>
      </c>
    </row>
    <row r="42" ht="30" customHeight="1">
      <c r="B42" s="28" t="str">
        <f>IF($R42="","",INDEX(tblSteps[注意短],$R42)&amp;"")</f>
        <v>重複の可能性</v>
      </c>
      <c r="C42" s="27" t="n"/>
      <c r="D42" s="26" t="str">
        <f>IF($R42="","",INDEX(tblSteps[案件ID],$R42)&amp;" "&amp;INDEX(tblSteps[案件名],$R42))</f>
        <v>A0008 工作機械の搬入・据付</v>
      </c>
      <c r="E42" s="27" t="n"/>
      <c r="F42" s="26" t="str">
        <f>IF($R42="","",INDEX(tblSteps[工程名],$R42)&amp;"")</f>
        <v>機械搬入</v>
      </c>
      <c r="G42" s="27" t="n"/>
      <c r="H42" s="28" t="str">
        <f>IF($R42="","",INDEX(tblSteps[担当],$R42)&amp;"")</f>
        <v>田中</v>
      </c>
      <c r="I42" s="32">
        <f>IF($R42="","",IF(ISNUMBER(INDEX(tblSteps[計画終了日],$R42)),INDEX(tblSteps[計画終了日],$R42),"未入力"))</f>
        <v>46304.0</v>
      </c>
      <c r="J42" s="32" t="str">
        <f>IF($R42="","",IF(ISNUMBER(INDEX(tblSteps[完了見込日],$R42)),INDEX(tblSteps[完了見込日],$R42),""))</f>
        <v/>
      </c>
      <c r="K42" s="26" t="str">
        <f>IF($R42="","",INDEX(tblSteps[状態],$R42)&amp;IF(ISNUMBER(INDEX(tblSteps[進捗率],$R42))," "&amp;TEXT(INDEX(tblSteps[進捗率],$R42),"0%"),""))</f>
        <v>未着手 0%</v>
      </c>
      <c r="L42" s="27" t="n"/>
      <c r="M42" s="26" t="str">
        <f>IF($R42="","",INDEX(tblSteps[注意],$R42)&amp;"")</f>
        <v>予定重複の可能性（田中）</v>
      </c>
      <c r="N42" s="27" t="n"/>
      <c r="O42" s="27" t="n"/>
      <c r="P42" s="27" t="n"/>
      <c r="Q42" s="27" t="n"/>
      <c r="R42">
        <f>IF(10&gt;COUNTIF(tblSteps[ホーム注意対象],1),"",IFERROR(MATCH(10,tblSteps[ホーム注意順位],0),""))</f>
        <v>4</v>
      </c>
    </row>
    <row r="43" ht="30" customHeight="1">
      <c r="B43" s="28" t="str">
        <f>IF($R43="","",INDEX(tblSteps[注意短],$R43)&amp;"")</f>
        <v/>
      </c>
      <c r="C43" s="27" t="n"/>
      <c r="D43" s="26" t="str">
        <f>IF($R43="","",INDEX(tblSteps[案件ID],$R43)&amp;" "&amp;INDEX(tblSteps[案件名],$R43))</f>
        <v/>
      </c>
      <c r="E43" s="27" t="n"/>
      <c r="F43" s="26" t="str">
        <f>IF($R43="","",INDEX(tblSteps[工程名],$R43)&amp;"")</f>
        <v/>
      </c>
      <c r="G43" s="27" t="n"/>
      <c r="H43" s="28" t="str">
        <f>IF($R43="","",INDEX(tblSteps[担当],$R43)&amp;"")</f>
        <v/>
      </c>
      <c r="I43" s="32" t="str">
        <f>IF($R43="","",IF(ISNUMBER(INDEX(tblSteps[計画終了日],$R43)),INDEX(tblSteps[計画終了日],$R43),"未入力"))</f>
        <v/>
      </c>
      <c r="J43" s="32" t="str">
        <f>IF($R43="","",IF(ISNUMBER(INDEX(tblSteps[完了見込日],$R43)),INDEX(tblSteps[完了見込日],$R43),""))</f>
        <v/>
      </c>
      <c r="K43" s="26" t="str">
        <f>IF($R43="","",INDEX(tblSteps[状態],$R43)&amp;IF(ISNUMBER(INDEX(tblSteps[進捗率],$R43))," "&amp;TEXT(INDEX(tblSteps[進捗率],$R43),"0%"),""))</f>
        <v/>
      </c>
      <c r="L43" s="27" t="n"/>
      <c r="M43" s="26" t="str">
        <f>IF($R43="","",INDEX(tblSteps[注意],$R43)&amp;"")</f>
        <v/>
      </c>
      <c r="N43" s="27" t="n"/>
      <c r="O43" s="27" t="n"/>
      <c r="P43" s="27" t="n"/>
      <c r="Q43" s="27" t="n"/>
      <c r="R43" t="str">
        <f>IF(11&gt;COUNTIF(tblSteps[ホーム注意対象],1),"",IFERROR(MATCH(11,tblSteps[ホーム注意順位],0),""))</f>
        <v/>
      </c>
    </row>
    <row r="44" ht="30" customHeight="1">
      <c r="B44" s="28" t="str">
        <f>IF($R44="","",INDEX(tblSteps[注意短],$R44)&amp;"")</f>
        <v/>
      </c>
      <c r="C44" s="27" t="n"/>
      <c r="D44" s="26" t="str">
        <f>IF($R44="","",INDEX(tblSteps[案件ID],$R44)&amp;" "&amp;INDEX(tblSteps[案件名],$R44))</f>
        <v/>
      </c>
      <c r="E44" s="27" t="n"/>
      <c r="F44" s="26" t="str">
        <f>IF($R44="","",INDEX(tblSteps[工程名],$R44)&amp;"")</f>
        <v/>
      </c>
      <c r="G44" s="27" t="n"/>
      <c r="H44" s="28" t="str">
        <f>IF($R44="","",INDEX(tblSteps[担当],$R44)&amp;"")</f>
        <v/>
      </c>
      <c r="I44" s="32" t="str">
        <f>IF($R44="","",IF(ISNUMBER(INDEX(tblSteps[計画終了日],$R44)),INDEX(tblSteps[計画終了日],$R44),"未入力"))</f>
        <v/>
      </c>
      <c r="J44" s="32" t="str">
        <f>IF($R44="","",IF(ISNUMBER(INDEX(tblSteps[完了見込日],$R44)),INDEX(tblSteps[完了見込日],$R44),""))</f>
        <v/>
      </c>
      <c r="K44" s="26" t="str">
        <f>IF($R44="","",INDEX(tblSteps[状態],$R44)&amp;IF(ISNUMBER(INDEX(tblSteps[進捗率],$R44))," "&amp;TEXT(INDEX(tblSteps[進捗率],$R44),"0%"),""))</f>
        <v/>
      </c>
      <c r="L44" s="27" t="n"/>
      <c r="M44" s="26" t="str">
        <f>IF($R44="","",INDEX(tblSteps[注意],$R44)&amp;"")</f>
        <v/>
      </c>
      <c r="N44" s="27" t="n"/>
      <c r="O44" s="27" t="n"/>
      <c r="P44" s="27" t="n"/>
      <c r="Q44" s="27" t="n"/>
      <c r="R44" t="str">
        <f>IF(12&gt;COUNTIF(tblSteps[ホーム注意対象],1),"",IFERROR(MATCH(12,tblSteps[ホーム注意順位],0),""))</f>
        <v/>
      </c>
    </row>
    <row r="45" ht="18" customHeight="1">
      <c r="B45" s="33" t="str">
        <f>IF(COUNTIF(tblSteps[ホーム注意対象],1)&gt;12,"▲ ほか "&amp;(COUNTIF(tblSteps[ホーム注意対象],1)-12)&amp;" 件あります。「03_工程入力」の注意欄で絞り込んで確認してください。","")</f>
        <v/>
      </c>
    </row>
    <row r="47" ht="24" customHeight="1">
      <c r="B47" s="22" t="inlineStr">
        <is>
          <t>③ 完了した工程の遅延実績（記録として残します）</t>
        </is>
      </c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3" t="str">
        <f>"表示 "&amp;MIN(8,COUNTIF(tblSteps[完了遅延対象],1))&amp;" 件／対象 "&amp;COUNTIF(tblSteps[完了遅延対象],1)&amp;" 件"</f>
        <v>表示 2 件／対象 2 件</v>
      </c>
    </row>
    <row r="48" ht="20" customHeight="1">
      <c r="B48" s="24" t="inlineStr">
        <is>
          <t>案件</t>
        </is>
      </c>
      <c r="C48" s="25" t="n"/>
      <c r="D48" s="25" t="n"/>
      <c r="E48" s="24" t="inlineStr">
        <is>
          <t>工程</t>
        </is>
      </c>
      <c r="F48" s="25" t="n"/>
      <c r="G48" s="25" t="n"/>
      <c r="H48" s="24" t="inlineStr">
        <is>
          <t>担当</t>
        </is>
      </c>
      <c r="I48" s="24" t="inlineStr">
        <is>
          <t>計画終了</t>
        </is>
      </c>
      <c r="J48" s="24" t="inlineStr">
        <is>
          <t>実績終了</t>
        </is>
      </c>
      <c r="K48" s="24" t="inlineStr">
        <is>
          <t>遅延</t>
        </is>
      </c>
      <c r="L48" s="24" t="inlineStr">
        <is>
          <t>懸念事項・理由</t>
        </is>
      </c>
      <c r="M48" s="25" t="n"/>
      <c r="N48" s="25" t="n"/>
      <c r="O48" s="25" t="n"/>
      <c r="P48" s="25" t="n"/>
      <c r="Q48" s="25" t="n"/>
    </row>
    <row r="49" ht="30" customHeight="1">
      <c r="B49" s="26" t="str">
        <f>IF($R49="",IF(COUNTIF(tblSteps[完了遅延対象],1)=0,"該当なし",""),INDEX(tblSteps[案件ID],$R49)&amp;" "&amp;INDEX(tblSteps[案件名],$R49))</f>
        <v>A0008 工作機械の搬入・据付</v>
      </c>
      <c r="C49" s="27" t="n"/>
      <c r="D49" s="27" t="n"/>
      <c r="E49" s="26" t="str">
        <f>IF($R49="","",INDEX(tblSteps[工程名],$R49)&amp;"")</f>
        <v>搬入計画書の作成</v>
      </c>
      <c r="F49" s="27" t="n"/>
      <c r="G49" s="27" t="n"/>
      <c r="H49" s="28" t="str">
        <f>IF($R49="","",INDEX(tblSteps[担当],$R49)&amp;"")</f>
        <v>高橋</v>
      </c>
      <c r="I49" s="32">
        <f>IF($R49="","",INDEX(tblSteps[計画終了日],$R49))</f>
        <v>46287.0</v>
      </c>
      <c r="J49" s="32">
        <f>IF($R49="","",INDEX(tblSteps[実績終了日],$R49))</f>
        <v>46289.0</v>
      </c>
      <c r="K49" s="34">
        <f>IF($R49="","",INDEX(tblSteps[完了遅延日数],$R49))</f>
        <v>2</v>
      </c>
      <c r="L49" s="26" t="str">
        <f>IF($R49="","",INDEX(tblSteps[懸念事項],$R49)&amp;"")</f>
        <v>顧客確認に2日かかった</v>
      </c>
      <c r="M49" s="27" t="n"/>
      <c r="N49" s="27" t="n"/>
      <c r="O49" s="27" t="n"/>
      <c r="P49" s="27" t="n"/>
      <c r="Q49" s="27" t="n"/>
      <c r="R49">
        <f>IF(1&gt;COUNTIF(tblSteps[完了遅延対象],1),"",IFERROR(MATCH(1,tblSteps[完了遅延順位],0),""))</f>
        <v>2</v>
      </c>
    </row>
    <row r="50" ht="30" customHeight="1">
      <c r="B50" s="26" t="str">
        <f>IF($R50="","",INDEX(tblSteps[案件ID],$R50)&amp;" "&amp;INDEX(tblSteps[案件名],$R50))</f>
        <v>A0022 制御盤更新工事</v>
      </c>
      <c r="C50" s="27" t="n"/>
      <c r="D50" s="27" t="n"/>
      <c r="E50" s="26" t="str">
        <f>IF($R50="","",INDEX(tblSteps[工程名],$R50)&amp;"")</f>
        <v>仕様確認</v>
      </c>
      <c r="F50" s="27" t="n"/>
      <c r="G50" s="27" t="n"/>
      <c r="H50" s="28" t="str">
        <f>IF($R50="","",INDEX(tblSteps[担当],$R50)&amp;"")</f>
        <v>田中</v>
      </c>
      <c r="I50" s="32">
        <f>IF($R50="","",INDEX(tblSteps[計画終了日],$R50))</f>
        <v>46296.0</v>
      </c>
      <c r="J50" s="32">
        <f>IF($R50="","",INDEX(tblSteps[実績終了日],$R50))</f>
        <v>46297.0</v>
      </c>
      <c r="K50" s="34">
        <f>IF($R50="","",INDEX(tblSteps[完了遅延日数],$R50))</f>
        <v>1</v>
      </c>
      <c r="L50" s="26" t="str">
        <f>IF($R50="","",INDEX(tblSteps[懸念事項],$R50)&amp;"")</f>
        <v/>
      </c>
      <c r="M50" s="27" t="n"/>
      <c r="N50" s="27" t="n"/>
      <c r="O50" s="27" t="n"/>
      <c r="P50" s="27" t="n"/>
      <c r="Q50" s="27" t="n"/>
      <c r="R50">
        <f>IF(2&gt;COUNTIF(tblSteps[完了遅延対象],1),"",IFERROR(MATCH(2,tblSteps[完了遅延順位],0),""))</f>
        <v>16</v>
      </c>
    </row>
    <row r="51" ht="30" customHeight="1">
      <c r="B51" s="26" t="str">
        <f>IF($R51="","",INDEX(tblSteps[案件ID],$R51)&amp;" "&amp;INDEX(tblSteps[案件名],$R51))</f>
        <v/>
      </c>
      <c r="C51" s="27" t="n"/>
      <c r="D51" s="27" t="n"/>
      <c r="E51" s="26" t="str">
        <f>IF($R51="","",INDEX(tblSteps[工程名],$R51)&amp;"")</f>
        <v/>
      </c>
      <c r="F51" s="27" t="n"/>
      <c r="G51" s="27" t="n"/>
      <c r="H51" s="28" t="str">
        <f>IF($R51="","",INDEX(tblSteps[担当],$R51)&amp;"")</f>
        <v/>
      </c>
      <c r="I51" s="32" t="str">
        <f>IF($R51="","",INDEX(tblSteps[計画終了日],$R51))</f>
        <v/>
      </c>
      <c r="J51" s="32" t="str">
        <f>IF($R51="","",INDEX(tblSteps[実績終了日],$R51))</f>
        <v/>
      </c>
      <c r="K51" s="34" t="str">
        <f>IF($R51="","",INDEX(tblSteps[完了遅延日数],$R51))</f>
        <v/>
      </c>
      <c r="L51" s="26" t="str">
        <f>IF($R51="","",INDEX(tblSteps[懸念事項],$R51)&amp;"")</f>
        <v/>
      </c>
      <c r="M51" s="27" t="n"/>
      <c r="N51" s="27" t="n"/>
      <c r="O51" s="27" t="n"/>
      <c r="P51" s="27" t="n"/>
      <c r="Q51" s="27" t="n"/>
      <c r="R51" t="str">
        <f>IF(3&gt;COUNTIF(tblSteps[完了遅延対象],1),"",IFERROR(MATCH(3,tblSteps[完了遅延順位],0),""))</f>
        <v/>
      </c>
    </row>
    <row r="52" ht="30" customHeight="1">
      <c r="B52" s="26" t="str">
        <f>IF($R52="","",INDEX(tblSteps[案件ID],$R52)&amp;" "&amp;INDEX(tblSteps[案件名],$R52))</f>
        <v/>
      </c>
      <c r="C52" s="27" t="n"/>
      <c r="D52" s="27" t="n"/>
      <c r="E52" s="26" t="str">
        <f>IF($R52="","",INDEX(tblSteps[工程名],$R52)&amp;"")</f>
        <v/>
      </c>
      <c r="F52" s="27" t="n"/>
      <c r="G52" s="27" t="n"/>
      <c r="H52" s="28" t="str">
        <f>IF($R52="","",INDEX(tblSteps[担当],$R52)&amp;"")</f>
        <v/>
      </c>
      <c r="I52" s="32" t="str">
        <f>IF($R52="","",INDEX(tblSteps[計画終了日],$R52))</f>
        <v/>
      </c>
      <c r="J52" s="32" t="str">
        <f>IF($R52="","",INDEX(tblSteps[実績終了日],$R52))</f>
        <v/>
      </c>
      <c r="K52" s="34" t="str">
        <f>IF($R52="","",INDEX(tblSteps[完了遅延日数],$R52))</f>
        <v/>
      </c>
      <c r="L52" s="26" t="str">
        <f>IF($R52="","",INDEX(tblSteps[懸念事項],$R52)&amp;"")</f>
        <v/>
      </c>
      <c r="M52" s="27" t="n"/>
      <c r="N52" s="27" t="n"/>
      <c r="O52" s="27" t="n"/>
      <c r="P52" s="27" t="n"/>
      <c r="Q52" s="27" t="n"/>
      <c r="R52" t="str">
        <f>IF(4&gt;COUNTIF(tblSteps[完了遅延対象],1),"",IFERROR(MATCH(4,tblSteps[完了遅延順位],0),""))</f>
        <v/>
      </c>
    </row>
    <row r="53" ht="30" customHeight="1">
      <c r="B53" s="26" t="str">
        <f>IF($R53="","",INDEX(tblSteps[案件ID],$R53)&amp;" "&amp;INDEX(tblSteps[案件名],$R53))</f>
        <v/>
      </c>
      <c r="C53" s="27" t="n"/>
      <c r="D53" s="27" t="n"/>
      <c r="E53" s="26" t="str">
        <f>IF($R53="","",INDEX(tblSteps[工程名],$R53)&amp;"")</f>
        <v/>
      </c>
      <c r="F53" s="27" t="n"/>
      <c r="G53" s="27" t="n"/>
      <c r="H53" s="28" t="str">
        <f>IF($R53="","",INDEX(tblSteps[担当],$R53)&amp;"")</f>
        <v/>
      </c>
      <c r="I53" s="32" t="str">
        <f>IF($R53="","",INDEX(tblSteps[計画終了日],$R53))</f>
        <v/>
      </c>
      <c r="J53" s="32" t="str">
        <f>IF($R53="","",INDEX(tblSteps[実績終了日],$R53))</f>
        <v/>
      </c>
      <c r="K53" s="34" t="str">
        <f>IF($R53="","",INDEX(tblSteps[完了遅延日数],$R53))</f>
        <v/>
      </c>
      <c r="L53" s="26" t="str">
        <f>IF($R53="","",INDEX(tblSteps[懸念事項],$R53)&amp;"")</f>
        <v/>
      </c>
      <c r="M53" s="27" t="n"/>
      <c r="N53" s="27" t="n"/>
      <c r="O53" s="27" t="n"/>
      <c r="P53" s="27" t="n"/>
      <c r="Q53" s="27" t="n"/>
      <c r="R53" t="str">
        <f>IF(5&gt;COUNTIF(tblSteps[完了遅延対象],1),"",IFERROR(MATCH(5,tblSteps[完了遅延順位],0),""))</f>
        <v/>
      </c>
    </row>
    <row r="54" ht="30" customHeight="1">
      <c r="B54" s="26" t="str">
        <f>IF($R54="","",INDEX(tblSteps[案件ID],$R54)&amp;" "&amp;INDEX(tblSteps[案件名],$R54))</f>
        <v/>
      </c>
      <c r="C54" s="27" t="n"/>
      <c r="D54" s="27" t="n"/>
      <c r="E54" s="26" t="str">
        <f>IF($R54="","",INDEX(tblSteps[工程名],$R54)&amp;"")</f>
        <v/>
      </c>
      <c r="F54" s="27" t="n"/>
      <c r="G54" s="27" t="n"/>
      <c r="H54" s="28" t="str">
        <f>IF($R54="","",INDEX(tblSteps[担当],$R54)&amp;"")</f>
        <v/>
      </c>
      <c r="I54" s="32" t="str">
        <f>IF($R54="","",INDEX(tblSteps[計画終了日],$R54))</f>
        <v/>
      </c>
      <c r="J54" s="32" t="str">
        <f>IF($R54="","",INDEX(tblSteps[実績終了日],$R54))</f>
        <v/>
      </c>
      <c r="K54" s="34" t="str">
        <f>IF($R54="","",INDEX(tblSteps[完了遅延日数],$R54))</f>
        <v/>
      </c>
      <c r="L54" s="26" t="str">
        <f>IF($R54="","",INDEX(tblSteps[懸念事項],$R54)&amp;"")</f>
        <v/>
      </c>
      <c r="M54" s="27" t="n"/>
      <c r="N54" s="27" t="n"/>
      <c r="O54" s="27" t="n"/>
      <c r="P54" s="27" t="n"/>
      <c r="Q54" s="27" t="n"/>
      <c r="R54" t="str">
        <f>IF(6&gt;COUNTIF(tblSteps[完了遅延対象],1),"",IFERROR(MATCH(6,tblSteps[完了遅延順位],0),""))</f>
        <v/>
      </c>
    </row>
    <row r="55" ht="30" customHeight="1">
      <c r="B55" s="26" t="str">
        <f>IF($R55="","",INDEX(tblSteps[案件ID],$R55)&amp;" "&amp;INDEX(tblSteps[案件名],$R55))</f>
        <v/>
      </c>
      <c r="C55" s="27" t="n"/>
      <c r="D55" s="27" t="n"/>
      <c r="E55" s="26" t="str">
        <f>IF($R55="","",INDEX(tblSteps[工程名],$R55)&amp;"")</f>
        <v/>
      </c>
      <c r="F55" s="27" t="n"/>
      <c r="G55" s="27" t="n"/>
      <c r="H55" s="28" t="str">
        <f>IF($R55="","",INDEX(tblSteps[担当],$R55)&amp;"")</f>
        <v/>
      </c>
      <c r="I55" s="32" t="str">
        <f>IF($R55="","",INDEX(tblSteps[計画終了日],$R55))</f>
        <v/>
      </c>
      <c r="J55" s="32" t="str">
        <f>IF($R55="","",INDEX(tblSteps[実績終了日],$R55))</f>
        <v/>
      </c>
      <c r="K55" s="34" t="str">
        <f>IF($R55="","",INDEX(tblSteps[完了遅延日数],$R55))</f>
        <v/>
      </c>
      <c r="L55" s="26" t="str">
        <f>IF($R55="","",INDEX(tblSteps[懸念事項],$R55)&amp;"")</f>
        <v/>
      </c>
      <c r="M55" s="27" t="n"/>
      <c r="N55" s="27" t="n"/>
      <c r="O55" s="27" t="n"/>
      <c r="P55" s="27" t="n"/>
      <c r="Q55" s="27" t="n"/>
      <c r="R55" t="str">
        <f>IF(7&gt;COUNTIF(tblSteps[完了遅延対象],1),"",IFERROR(MATCH(7,tblSteps[完了遅延順位],0),""))</f>
        <v/>
      </c>
    </row>
    <row r="56" ht="30" customHeight="1">
      <c r="B56" s="26" t="str">
        <f>IF($R56="","",INDEX(tblSteps[案件ID],$R56)&amp;" "&amp;INDEX(tblSteps[案件名],$R56))</f>
        <v/>
      </c>
      <c r="C56" s="27" t="n"/>
      <c r="D56" s="27" t="n"/>
      <c r="E56" s="26" t="str">
        <f>IF($R56="","",INDEX(tblSteps[工程名],$R56)&amp;"")</f>
        <v/>
      </c>
      <c r="F56" s="27" t="n"/>
      <c r="G56" s="27" t="n"/>
      <c r="H56" s="28" t="str">
        <f>IF($R56="","",INDEX(tblSteps[担当],$R56)&amp;"")</f>
        <v/>
      </c>
      <c r="I56" s="32" t="str">
        <f>IF($R56="","",INDEX(tblSteps[計画終了日],$R56))</f>
        <v/>
      </c>
      <c r="J56" s="32" t="str">
        <f>IF($R56="","",INDEX(tblSteps[実績終了日],$R56))</f>
        <v/>
      </c>
      <c r="K56" s="34" t="str">
        <f>IF($R56="","",INDEX(tblSteps[完了遅延日数],$R56))</f>
        <v/>
      </c>
      <c r="L56" s="26" t="str">
        <f>IF($R56="","",INDEX(tblSteps[懸念事項],$R56)&amp;"")</f>
        <v/>
      </c>
      <c r="M56" s="27" t="n"/>
      <c r="N56" s="27" t="n"/>
      <c r="O56" s="27" t="n"/>
      <c r="P56" s="27" t="n"/>
      <c r="Q56" s="27" t="n"/>
      <c r="R56" t="str">
        <f>IF(8&gt;COUNTIF(tblSteps[完了遅延対象],1),"",IFERROR(MATCH(8,tblSteps[完了遅延順位],0),""))</f>
        <v/>
      </c>
    </row>
    <row r="57" ht="18" customHeight="1">
      <c r="B57" s="33" t="str">
        <f>IF(COUNTIF(tblSteps[完了遅延対象],1)&gt;8,"▲ ほか "&amp;(COUNTIF(tblSteps[完了遅延対象],1)-8)&amp;" 件あります。「03_工程入力」で確認してください。","")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97">
    <mergeCell ref="M34:Q34"/>
    <mergeCell ref="H10:I10"/>
    <mergeCell ref="J10:K10"/>
    <mergeCell ref="J27:L27"/>
    <mergeCell ref="O22:Q22"/>
    <mergeCell ref="K33:L33"/>
    <mergeCell ref="E23:F23"/>
    <mergeCell ref="M44:Q44"/>
    <mergeCell ref="B53:D53"/>
    <mergeCell ref="D36:E36"/>
    <mergeCell ref="H9:I9"/>
    <mergeCell ref="L51:Q51"/>
    <mergeCell ref="J9:K9"/>
    <mergeCell ref="L3:M3"/>
    <mergeCell ref="O21:Q21"/>
    <mergeCell ref="J25:L25"/>
    <mergeCell ref="N3:O3"/>
    <mergeCell ref="B28:D28"/>
    <mergeCell ref="K35:L35"/>
    <mergeCell ref="L54:Q54"/>
    <mergeCell ref="L50:Q50"/>
    <mergeCell ref="L56:Q56"/>
    <mergeCell ref="B20:D20"/>
    <mergeCell ref="L52:Q52"/>
    <mergeCell ref="B38:C38"/>
    <mergeCell ref="M12:Q12"/>
    <mergeCell ref="L49:Q49"/>
    <mergeCell ref="K42:L42"/>
    <mergeCell ref="E27:F27"/>
    <mergeCell ref="B40:C40"/>
    <mergeCell ref="M41:Q41"/>
    <mergeCell ref="B54:D54"/>
    <mergeCell ref="F43:G43"/>
    <mergeCell ref="O19:Q19"/>
    <mergeCell ref="B33:C33"/>
    <mergeCell ref="D33:E33"/>
    <mergeCell ref="J13:L13"/>
    <mergeCell ref="B56:D56"/>
    <mergeCell ref="K37:L37"/>
    <mergeCell ref="E22:F22"/>
    <mergeCell ref="B32:C32"/>
    <mergeCell ref="B41:C41"/>
    <mergeCell ref="B29:Q29"/>
    <mergeCell ref="B35:C35"/>
    <mergeCell ref="D35:E35"/>
    <mergeCell ref="J15:L15"/>
    <mergeCell ref="J24:L24"/>
    <mergeCell ref="D10:E10"/>
    <mergeCell ref="F10:G10"/>
    <mergeCell ref="B3:C3"/>
    <mergeCell ref="D34:E34"/>
    <mergeCell ref="C5:D5"/>
    <mergeCell ref="P10:Q10"/>
    <mergeCell ref="B17:D17"/>
    <mergeCell ref="F34:G34"/>
    <mergeCell ref="E14:F14"/>
    <mergeCell ref="B6:Q6"/>
    <mergeCell ref="J26:L26"/>
    <mergeCell ref="L55:Q55"/>
    <mergeCell ref="M39:Q39"/>
    <mergeCell ref="P9:Q9"/>
    <mergeCell ref="J16:L16"/>
    <mergeCell ref="B19:D19"/>
    <mergeCell ref="K32:L32"/>
    <mergeCell ref="F33:G33"/>
    <mergeCell ref="K41:L41"/>
    <mergeCell ref="F42:G42"/>
    <mergeCell ref="M31:Q31"/>
    <mergeCell ref="E54:G54"/>
    <mergeCell ref="M40:Q40"/>
    <mergeCell ref="O14:Q14"/>
    <mergeCell ref="K43:L43"/>
    <mergeCell ref="O23:Q23"/>
    <mergeCell ref="B37:C37"/>
    <mergeCell ref="D37:E37"/>
    <mergeCell ref="O13:Q13"/>
    <mergeCell ref="M37:Q37"/>
    <mergeCell ref="E56:G56"/>
    <mergeCell ref="E26:F26"/>
    <mergeCell ref="D9:E9"/>
    <mergeCell ref="F9:G9"/>
    <mergeCell ref="H3:I3"/>
    <mergeCell ref="D39:E39"/>
    <mergeCell ref="J3:K3"/>
    <mergeCell ref="F39:G39"/>
    <mergeCell ref="O15:Q15"/>
    <mergeCell ref="J14:L14"/>
    <mergeCell ref="E16:F16"/>
    <mergeCell ref="O24:Q24"/>
    <mergeCell ref="J28:L28"/>
    <mergeCell ref="E25:F25"/>
    <mergeCell ref="O18:Q18"/>
    <mergeCell ref="B57:Q57"/>
    <mergeCell ref="D38:E38"/>
    <mergeCell ref="M38:Q38"/>
    <mergeCell ref="B21:D21"/>
    <mergeCell ref="F44:G44"/>
    <mergeCell ref="L53:Q53"/>
    <mergeCell ref="E18:F18"/>
    <mergeCell ref="B48:D48"/>
    <mergeCell ref="M43:Q43"/>
    <mergeCell ref="O1:Q1"/>
    <mergeCell ref="B14:D14"/>
    <mergeCell ref="B23:D23"/>
    <mergeCell ref="B13:D13"/>
    <mergeCell ref="O25:Q25"/>
    <mergeCell ref="B43:C43"/>
    <mergeCell ref="M35:Q35"/>
    <mergeCell ref="E20:F20"/>
    <mergeCell ref="O27:Q27"/>
    <mergeCell ref="B49:D49"/>
    <mergeCell ref="B42:C42"/>
    <mergeCell ref="K44:L44"/>
    <mergeCell ref="E13:F13"/>
    <mergeCell ref="O17:Q17"/>
    <mergeCell ref="F36:G36"/>
    <mergeCell ref="L8:M8"/>
    <mergeCell ref="K40:L40"/>
    <mergeCell ref="N8:O8"/>
    <mergeCell ref="B51:D51"/>
    <mergeCell ref="F8:G8"/>
    <mergeCell ref="B44:C44"/>
    <mergeCell ref="E5:Q5"/>
    <mergeCell ref="E15:F15"/>
    <mergeCell ref="J18:L18"/>
    <mergeCell ref="B34:C34"/>
    <mergeCell ref="L10:M10"/>
    <mergeCell ref="B50:D50"/>
    <mergeCell ref="N10:O10"/>
    <mergeCell ref="M33:Q33"/>
    <mergeCell ref="M42:Q42"/>
    <mergeCell ref="L48:Q48"/>
    <mergeCell ref="J17:L17"/>
    <mergeCell ref="B9:C9"/>
    <mergeCell ref="D3:E3"/>
    <mergeCell ref="B25:D25"/>
    <mergeCell ref="L9:M9"/>
    <mergeCell ref="N9:O9"/>
    <mergeCell ref="J19:L19"/>
    <mergeCell ref="B22:D22"/>
    <mergeCell ref="M32:Q32"/>
    <mergeCell ref="E51:G51"/>
    <mergeCell ref="K34:L34"/>
    <mergeCell ref="E24:F24"/>
    <mergeCell ref="O26:Q26"/>
    <mergeCell ref="D40:E40"/>
    <mergeCell ref="J20:L20"/>
    <mergeCell ref="E17:F17"/>
    <mergeCell ref="K36:L36"/>
    <mergeCell ref="O16:Q16"/>
    <mergeCell ref="F40:G40"/>
    <mergeCell ref="F3:G3"/>
    <mergeCell ref="B39:C39"/>
    <mergeCell ref="E49:G49"/>
    <mergeCell ref="B45:Q45"/>
    <mergeCell ref="J22:L22"/>
    <mergeCell ref="E19:F19"/>
    <mergeCell ref="P8:Q8"/>
    <mergeCell ref="E28:F28"/>
    <mergeCell ref="D32:E32"/>
    <mergeCell ref="F32:G32"/>
    <mergeCell ref="D41:E41"/>
    <mergeCell ref="B15:D15"/>
    <mergeCell ref="B8:C8"/>
    <mergeCell ref="F41:G41"/>
    <mergeCell ref="J21:L21"/>
    <mergeCell ref="B24:D24"/>
    <mergeCell ref="F35:G35"/>
    <mergeCell ref="B55:D55"/>
    <mergeCell ref="F38:G38"/>
    <mergeCell ref="D43:E43"/>
    <mergeCell ref="E53:G53"/>
    <mergeCell ref="B10:C10"/>
    <mergeCell ref="J23:L23"/>
    <mergeCell ref="B26:D26"/>
    <mergeCell ref="E50:G50"/>
    <mergeCell ref="M36:Q36"/>
    <mergeCell ref="K39:L39"/>
    <mergeCell ref="B16:D16"/>
    <mergeCell ref="O28:Q28"/>
    <mergeCell ref="D8:E8"/>
    <mergeCell ref="E55:G55"/>
    <mergeCell ref="F37:G37"/>
    <mergeCell ref="D42:E42"/>
    <mergeCell ref="E52:G52"/>
    <mergeCell ref="K38:L38"/>
    <mergeCell ref="M47:Q47"/>
    <mergeCell ref="B18:D18"/>
    <mergeCell ref="B27:D27"/>
    <mergeCell ref="B36:C36"/>
    <mergeCell ref="E48:G48"/>
    <mergeCell ref="B52:D52"/>
    <mergeCell ref="H8:I8"/>
    <mergeCell ref="J8:K8"/>
    <mergeCell ref="D44:E44"/>
    <mergeCell ref="O20:Q20"/>
    <mergeCell ref="E21:F21"/>
  </mergeCells>
  <conditionalFormatting sqref="D9">
    <cfRule type="expression" priority="1" dxfId="0" stopIfTrue="1">
      <formula>D9&gt;0</formula>
    </cfRule>
  </conditionalFormatting>
  <conditionalFormatting sqref="F9">
    <cfRule type="expression" priority="2" dxfId="1" stopIfTrue="1">
      <formula>F9&gt;0</formula>
    </cfRule>
  </conditionalFormatting>
  <conditionalFormatting sqref="H9">
    <cfRule type="expression" priority="3" dxfId="2" stopIfTrue="1">
      <formula>H9&gt;0</formula>
    </cfRule>
  </conditionalFormatting>
  <conditionalFormatting sqref="J9">
    <cfRule type="expression" priority="4" dxfId="1" stopIfTrue="1">
      <formula>J9&gt;0</formula>
    </cfRule>
  </conditionalFormatting>
  <conditionalFormatting sqref="L9">
    <cfRule type="expression" priority="5" dxfId="2" stopIfTrue="1">
      <formula>L9&gt;0</formula>
    </cfRule>
  </conditionalFormatting>
  <conditionalFormatting sqref="P9">
    <cfRule type="expression" priority="6" dxfId="2" stopIfTrue="1">
      <formula>P9&gt;0</formula>
    </cfRule>
  </conditionalFormatting>
  <conditionalFormatting sqref="O14:Q28">
    <cfRule type="expression" priority="7" dxfId="3" stopIfTrue="1">
      <formula>OR(LEFT($O14,4)="納期超過",LEFT($O14,6)="納期遅れ見込")</formula>
    </cfRule>
    <cfRule type="expression" priority="8" dxfId="2" stopIfTrue="1">
      <formula>OR(LEFT($O14,4)="納期迫る",$O14="納期未設定",$O14="工程未登録")</formula>
    </cfRule>
  </conditionalFormatting>
  <conditionalFormatting sqref="B33:C44">
    <cfRule type="expression" priority="9" dxfId="3" stopIfTrue="1">
      <formula>OR(LEFT($B33,4)="期限超過",$B33="納期遅れ見込")</formula>
    </cfRule>
    <cfRule type="expression" priority="10" dxfId="2" stopIfTrue="1">
      <formula>$B33&lt;&gt;""</formula>
    </cfRule>
  </conditionalFormatting>
  <hyperlinks>
    <hyperlink ref="B3" location="'02_案件マスター'!A1" display="▶ 案件マスター"/>
    <hyperlink ref="D3" location="'03_工程入力'!A1" display="▶ 工程入力"/>
    <hyperlink ref="F3" location="'04_日別ガント'!A1" display="▶ 日別ガント"/>
    <hyperlink ref="H3" location="'05_週別ガント'!A1" display="▶ 週別ガント"/>
    <hyperlink ref="J3" location="'06_当日時間割'!A1" display="▶ 当日時間割"/>
    <hyperlink ref="L3" location="'07_設定'!A1" display="▶ 設定"/>
    <hyperlink ref="N3" location="'08_使い方'!A1" display="▶ 使い方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AG10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22" customWidth="1" min="3" max="3"/>
    <col width="24" customWidth="1" min="4" max="4"/>
    <col width="9" customWidth="1" min="5" max="5"/>
    <col width="11" customWidth="1" min="6" max="6"/>
    <col width="11" customWidth="1" min="7" max="7"/>
    <col width="8" customWidth="1" min="8" max="8"/>
    <col width="20" customWidth="1" min="9" max="9"/>
    <col width="7" customWidth="1" min="10" max="10"/>
    <col width="26" customWidth="1" min="11" max="11"/>
    <col width="8" customWidth="1" min="12" max="12"/>
    <col width="13" customWidth="1" min="13" max="13"/>
    <col width="6" customWidth="1" min="14" max="14"/>
    <col width="11" customWidth="1" min="15" max="15"/>
    <col width="11" customWidth="1" min="16" max="16"/>
    <col width="15" customWidth="1" min="17" max="17"/>
    <col width="22" customWidth="1" min="18" max="18"/>
    <col width="24" customWidth="1" min="19" max="19"/>
    <col width="6" customWidth="1" min="20" max="20"/>
    <col width="7" customWidth="1" min="21" max="21"/>
    <col width="7" customWidth="1" min="22" max="22"/>
    <col width="7" customWidth="1" min="23" max="23"/>
    <col width="6" customWidth="1" min="24" max="24"/>
    <col width="6" customWidth="1" min="25" max="25"/>
    <col width="7" customWidth="1" min="26" max="26"/>
    <col width="11" customWidth="1" min="27" max="27"/>
    <col width="11" customWidth="1" min="28" max="28"/>
    <col width="6" customWidth="1" min="29" max="29"/>
    <col width="11" customWidth="1" min="30" max="30"/>
    <col width="6" customWidth="1" min="31" max="31"/>
    <col width="6" customWidth="1" min="32" max="32"/>
    <col width="6" customWidth="1" min="33" max="33"/>
  </cols>
  <sheetData>
    <row r="1" ht="30" customHeight="1">
      <c r="A1" s="1" t="inlineStr">
        <is>
          <t>案件マスター（1行＝1案件）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サンプル（架空データ）</t>
        </is>
      </c>
      <c r="Q1" s="35" t="inlineStr">
        <is>
          <t>← ホームへ</t>
        </is>
      </c>
    </row>
    <row r="2" ht="20" customHeight="1">
      <c r="A2" s="4" t="inlineStr">
        <is>
          <t>顧客納期・状態の正本です。今の工程・進捗・完了見込・納期判定は 03_工程入力 から自動表示されます。</t>
        </is>
      </c>
    </row>
    <row r="3" ht="22" customHeight="1">
      <c r="A3" s="36" t="inlineStr">
        <is>
          <t>凡例</t>
        </is>
      </c>
      <c r="B3" s="37" t="inlineStr">
        <is>
          <t>入力</t>
        </is>
      </c>
      <c r="C3" s="38" t="inlineStr">
        <is>
          <t>自動計算</t>
        </is>
      </c>
      <c r="D3" s="39" t="inlineStr">
        <is>
          <t>計算用（編集しない）</t>
        </is>
      </c>
      <c r="E3" s="40" t="inlineStr">
        <is>
          <t>注意・要確認</t>
        </is>
      </c>
      <c r="F3" s="41" t="inlineStr">
        <is>
          <t>期限超過</t>
        </is>
      </c>
      <c r="I3" s="42" t="inlineStr">
        <is>
          <t>次の案件ID候補</t>
        </is>
      </c>
      <c r="J3" s="43" t="str">
        <f>"A"&amp;TEXT(MAX(0,MAX(tblProjects[ID番号]))+1,"0000")</f>
        <v>A0024</v>
      </c>
      <c r="K3" s="44" t="inlineStr">
        <is>
          <t>← 新しい行のIDはこれを見て値で入力（自動では付きません）</t>
        </is>
      </c>
    </row>
    <row r="4" ht="6" customHeight="1"/>
    <row r="5" ht="36" customHeight="1">
      <c r="A5" s="45" t="inlineStr">
        <is>
          <t>案件ID</t>
        </is>
      </c>
      <c r="B5" s="45" t="inlineStr">
        <is>
          <t>顧客ID（任意）</t>
        </is>
      </c>
      <c r="C5" s="45" t="inlineStr">
        <is>
          <t>顧客名</t>
        </is>
      </c>
      <c r="D5" s="45" t="inlineStr">
        <is>
          <t>案件名</t>
        </is>
      </c>
      <c r="E5" s="45" t="inlineStr">
        <is>
          <t>責任者</t>
        </is>
      </c>
      <c r="F5" s="45" t="inlineStr">
        <is>
          <t>顧客納期</t>
        </is>
      </c>
      <c r="G5" s="45" t="inlineStr">
        <is>
          <t>社内目標日</t>
        </is>
      </c>
      <c r="H5" s="45" t="inlineStr">
        <is>
          <t>状態</t>
        </is>
      </c>
      <c r="I5" s="46" t="inlineStr">
        <is>
          <t>納期判定</t>
        </is>
      </c>
      <c r="J5" s="46" t="inlineStr">
        <is>
          <t>残日数</t>
        </is>
      </c>
      <c r="K5" s="46" t="inlineStr">
        <is>
          <t>今の工程</t>
        </is>
      </c>
      <c r="L5" s="46" t="inlineStr">
        <is>
          <t>進捗</t>
        </is>
      </c>
      <c r="M5" s="46" t="inlineStr">
        <is>
          <t>集約方式</t>
        </is>
      </c>
      <c r="N5" s="46" t="inlineStr">
        <is>
          <t>工程数</t>
        </is>
      </c>
      <c r="O5" s="46" t="inlineStr">
        <is>
          <t>計画上の完了日</t>
        </is>
      </c>
      <c r="P5" s="46" t="inlineStr">
        <is>
          <t>完了見込日</t>
        </is>
      </c>
      <c r="Q5" s="46" t="inlineStr">
        <is>
          <t>見込の根拠</t>
        </is>
      </c>
      <c r="R5" s="45" t="inlineStr">
        <is>
          <t>補足</t>
        </is>
      </c>
      <c r="S5" s="46" t="inlineStr">
        <is>
          <t>入力チェック</t>
        </is>
      </c>
      <c r="T5" s="47" t="inlineStr">
        <is>
          <t>工数入力数</t>
        </is>
      </c>
      <c r="U5" s="47" t="inlineStr">
        <is>
          <t>工数合計</t>
        </is>
      </c>
      <c r="V5" s="47" t="inlineStr">
        <is>
          <t>加重進捗和</t>
        </is>
      </c>
      <c r="W5" s="47" t="inlineStr">
        <is>
          <t>進捗和</t>
        </is>
      </c>
      <c r="X5" s="47" t="inlineStr">
        <is>
          <t>完了数</t>
        </is>
      </c>
      <c r="Y5" s="47" t="inlineStr">
        <is>
          <t>進行中数</t>
        </is>
      </c>
      <c r="Z5" s="47" t="inlineStr">
        <is>
          <t>未完了見込なし数</t>
        </is>
      </c>
      <c r="AA5" s="47" t="inlineStr">
        <is>
          <t>現在キー</t>
        </is>
      </c>
      <c r="AB5" s="47" t="inlineStr">
        <is>
          <t>次キー</t>
        </is>
      </c>
      <c r="AC5" s="47" t="inlineStr">
        <is>
          <t>ホーム対象</t>
        </is>
      </c>
      <c r="AD5" s="47" t="inlineStr">
        <is>
          <t>並びキー</t>
        </is>
      </c>
      <c r="AE5" s="47" t="inlineStr">
        <is>
          <t>案件順位</t>
        </is>
      </c>
      <c r="AF5" s="47" t="inlineStr">
        <is>
          <t>ホーム順位</t>
        </is>
      </c>
      <c r="AG5" s="47" t="inlineStr">
        <is>
          <t>ID番号</t>
        </is>
      </c>
    </row>
    <row r="6">
      <c r="A6" s="48" t="inlineStr">
        <is>
          <t>A0008</t>
        </is>
      </c>
      <c r="B6" s="48" t="inlineStr">
        <is>
          <t>C005</t>
        </is>
      </c>
      <c r="C6" s="49" t="inlineStr">
        <is>
          <t>テスト工機株式会社</t>
        </is>
      </c>
      <c r="D6" s="49" t="inlineStr">
        <is>
          <t>工作機械の搬入・据付</t>
        </is>
      </c>
      <c r="E6" s="50" t="inlineStr">
        <is>
          <t>田中</t>
        </is>
      </c>
      <c r="F6" s="51" t="n">
        <v>46311</v>
      </c>
      <c r="G6" s="51" t="n">
        <v>46309</v>
      </c>
      <c r="H6" s="50" t="inlineStr">
        <is>
          <t>進行中</t>
        </is>
      </c>
      <c r="I6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>予定内（予定ベース）</v>
      </c>
      <c r="J6" s="53">
        <f>IF(OR(tblProjects[[#This Row],[案件ID]]="",NOT(ISNUMBER(tblProjects[[#This Row],[顧客納期]]))),"",tblProjects[[#This Row],[顧客納期]]-RefDate)</f>
        <v>11</v>
      </c>
      <c r="K6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>基礎工事（協力会社A）</v>
      </c>
      <c r="L6" s="54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>0.484690553745928</v>
      </c>
      <c r="M6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>工数加重平均</v>
      </c>
      <c r="N6" s="56">
        <f>IF(tblProjects[[#This Row],[案件ID]]="","",COUNTIFS(tblSteps[案件ID],tblProjects[[#This Row],[案件ID]],tblSteps[集計対象],1))</f>
        <v>7</v>
      </c>
      <c r="O6" s="57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>46311.0</v>
      </c>
      <c r="P6" s="57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>46311.0</v>
      </c>
      <c r="Q6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>予定ベース（参考）</v>
      </c>
      <c r="R6" s="49" t="inlineStr">
        <is>
          <t>CRM の A0008（受注）から引き継ぎ</t>
        </is>
      </c>
      <c r="S6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6" s="58">
        <f>IF(tblProjects[[#This Row],[案件ID]]="",0,COUNTIFS(tblSteps[案件ID],tblProjects[[#This Row],[案件ID]],tblSteps[集計対象],1,tblSteps[工数あり],1))</f>
        <v>7</v>
      </c>
      <c r="U6" s="58">
        <f>IF(tblProjects[[#This Row],[案件ID]]="",0,SUMIFS(tblSteps[計画工数（時間）],tblSteps[案件ID],tblProjects[[#This Row],[案件ID]],tblSteps[集計対象],1))</f>
        <v>153.5</v>
      </c>
      <c r="V6" s="58">
        <f>IF(tblProjects[[#This Row],[案件ID]]="",0,SUMIFS(tblSteps[加重進捗],tblSteps[案件ID],tblProjects[[#This Row],[案件ID]],tblSteps[集計対象],1))</f>
        <v>74.4</v>
      </c>
      <c r="W6" s="58">
        <f>IF(tblProjects[[#This Row],[案件ID]]="",0,SUMIFS(tblSteps[進捗値],tblSteps[案件ID],tblProjects[[#This Row],[案件ID]],tblSteps[集計対象],1))</f>
        <v>2.6</v>
      </c>
      <c r="X6" s="58">
        <f>IF(tblProjects[[#This Row],[案件ID]]="",0,COUNTIFS(tblSteps[案件ID],tblProjects[[#This Row],[案件ID]],tblSteps[集計対象],1,tblSteps[完了],1))</f>
        <v>2</v>
      </c>
      <c r="Y6" s="58">
        <f>IF(tblProjects[[#This Row],[案件ID]]="",0,COUNTIFS(tblSteps[案件ID],tblProjects[[#This Row],[案件ID]],tblSteps[集計対象],1,tblSteps[状態],"進行中"))</f>
        <v>1</v>
      </c>
      <c r="Z6" s="58">
        <f>IF(tblProjects[[#This Row],[案件ID]]="",0,COUNTIFS(tblSteps[案件ID],tblProjects[[#This Row],[案件ID]],tblSteps[集計対象],1,tblSteps[完了],0,tblSteps[見込入力],0))</f>
        <v>4</v>
      </c>
      <c r="AA6" s="58">
        <f>IF(tblProjects[[#This Row],[案件ID]]="",0,_xlfn.MINIFS(tblSteps[現在キー],tblSteps[案件ID],tblProjects[[#This Row],[案件ID]]))</f>
        <v>4629300003</v>
      </c>
      <c r="AB6" s="58">
        <f>IF(tblProjects[[#This Row],[案件ID]]="",0,_xlfn.MINIFS(tblSteps[次キー],tblSteps[案件ID],tblProjects[[#This Row],[案件ID]]))</f>
        <v>4630000027</v>
      </c>
      <c r="AC6" s="58">
        <f>IF(AND(tblProjects[[#This Row],[案件ID]]&lt;&gt;"",tblProjects[[#This Row],[状態]]&lt;&gt;"完了",tblProjects[[#This Row],[状態]]&lt;&gt;"取消"),1,0)</f>
        <v>1</v>
      </c>
      <c r="AD6" s="58">
        <f>IF(ISNUMBER(tblProjects[[#This Row],[顧客納期]]),INT(tblProjects[[#This Row],[顧客納期]]),99999)*100000+N(tblProjects[[#This Row],[ID番号]])</f>
        <v>4631100008</v>
      </c>
      <c r="AE6" s="58">
        <f>IF(tblProjects[[#This Row],[案件ID]]="","",COUNTIFS(tblProjects[並びキー],"&lt;"&amp;tblProjects[[#This Row],[並びキー]],tblProjects[案件ID],"?*")+1)</f>
        <v>3</v>
      </c>
      <c r="AF6" s="58">
        <f>IF(tblProjects[[#This Row],[ホーム対象]]=1,COUNTIFS(tblProjects[ホーム対象],1,tblProjects[並びキー],"&lt;"&amp;tblProjects[[#This Row],[並びキー]])+1,"")</f>
        <v>3</v>
      </c>
      <c r="AG6" s="58">
        <f>IFERROR(VALUE(MID(tblProjects[[#This Row],[案件ID]],2,20)),"")</f>
        <v>8</v>
      </c>
    </row>
    <row r="7">
      <c r="A7" s="48" t="inlineStr">
        <is>
          <t>A0020</t>
        </is>
      </c>
      <c r="B7" s="48" t="inlineStr">
        <is>
          <t>C010</t>
        </is>
      </c>
      <c r="C7" s="49" t="inlineStr">
        <is>
          <t>テスト設備保守株式会社</t>
        </is>
      </c>
      <c r="D7" s="49" t="inlineStr">
        <is>
          <t>スポット修理（搬送装置）</t>
        </is>
      </c>
      <c r="E7" s="50" t="inlineStr">
        <is>
          <t>伊藤</t>
        </is>
      </c>
      <c r="F7" s="51" t="n">
        <v>46304</v>
      </c>
      <c r="G7" s="51" t="n">
        <v>46303</v>
      </c>
      <c r="H7" s="50" t="inlineStr">
        <is>
          <t>進行中</t>
        </is>
      </c>
      <c r="I7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>納期迫る（残4日）</v>
      </c>
      <c r="J7" s="53">
        <f>IF(OR(tblProjects[[#This Row],[案件ID]]="",NOT(ISNUMBER(tblProjects[[#This Row],[顧客納期]]))),"",tblProjects[[#This Row],[顧客納期]]-RefDate)</f>
        <v>4</v>
      </c>
      <c r="K7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>修理作業（伊藤）</v>
      </c>
      <c r="L7" s="54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>0.35</v>
      </c>
      <c r="M7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>工数加重平均</v>
      </c>
      <c r="N7" s="56">
        <f>IF(tblProjects[[#This Row],[案件ID]]="","",COUNTIFS(tblSteps[案件ID],tblProjects[[#This Row],[案件ID]],tblSteps[集計対象],1))</f>
        <v>4</v>
      </c>
      <c r="O7" s="57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>46303.0</v>
      </c>
      <c r="P7" s="57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>46303.0</v>
      </c>
      <c r="Q7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>予定ベース（参考）</v>
      </c>
      <c r="R7" s="49" t="inlineStr">
        <is>
          <t>CRM の A0020（受注）から引き継ぎ</t>
        </is>
      </c>
      <c r="S7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7" s="58">
        <f>IF(tblProjects[[#This Row],[案件ID]]="",0,COUNTIFS(tblSteps[案件ID],tblProjects[[#This Row],[案件ID]],tblSteps[集計対象],1,tblSteps[工数あり],1))</f>
        <v>4</v>
      </c>
      <c r="U7" s="58">
        <f>IF(tblProjects[[#This Row],[案件ID]]="",0,SUMIFS(tblSteps[計画工数（時間）],tblSteps[案件ID],tblProjects[[#This Row],[案件ID]],tblSteps[集計対象],1))</f>
        <v>14</v>
      </c>
      <c r="V7" s="58">
        <f>IF(tblProjects[[#This Row],[案件ID]]="",0,SUMIFS(tblSteps[加重進捗],tblSteps[案件ID],tblProjects[[#This Row],[案件ID]],tblSteps[集計対象],1))</f>
        <v>4.9</v>
      </c>
      <c r="W7" s="58">
        <f>IF(tblProjects[[#This Row],[案件ID]]="",0,SUMIFS(tblSteps[進捗値],tblSteps[案件ID],tblProjects[[#This Row],[案件ID]],tblSteps[集計対象],1))</f>
        <v>1.3</v>
      </c>
      <c r="X7" s="58">
        <f>IF(tblProjects[[#This Row],[案件ID]]="",0,COUNTIFS(tblSteps[案件ID],tblProjects[[#This Row],[案件ID]],tblSteps[集計対象],1,tblSteps[完了],1))</f>
        <v>1</v>
      </c>
      <c r="Y7" s="58">
        <f>IF(tblProjects[[#This Row],[案件ID]]="",0,COUNTIFS(tblSteps[案件ID],tblProjects[[#This Row],[案件ID]],tblSteps[集計対象],1,tblSteps[状態],"進行中"))</f>
        <v>1</v>
      </c>
      <c r="Z7" s="58">
        <f>IF(tblProjects[[#This Row],[案件ID]]="",0,COUNTIFS(tblSteps[案件ID],tblProjects[[#This Row],[案件ID]],tblSteps[集計対象],1,tblSteps[完了],0,tblSteps[見込入力],0))</f>
        <v>3</v>
      </c>
      <c r="AA7" s="58">
        <f>IF(tblProjects[[#This Row],[案件ID]]="",0,_xlfn.MINIFS(tblSteps[現在キー],tblSteps[案件ID],tblProjects[[#This Row],[案件ID]]))</f>
        <v>4630000008</v>
      </c>
      <c r="AB7" s="58">
        <f>IF(tblProjects[[#This Row],[案件ID]]="",0,_xlfn.MINIFS(tblSteps[次キー],tblSteps[案件ID],tblProjects[[#This Row],[案件ID]]))</f>
        <v>4630000024</v>
      </c>
      <c r="AC7" s="58">
        <f>IF(AND(tblProjects[[#This Row],[案件ID]]&lt;&gt;"",tblProjects[[#This Row],[状態]]&lt;&gt;"完了",tblProjects[[#This Row],[状態]]&lt;&gt;"取消"),1,0)</f>
        <v>1</v>
      </c>
      <c r="AD7" s="58">
        <f>IF(ISNUMBER(tblProjects[[#This Row],[顧客納期]]),INT(tblProjects[[#This Row],[顧客納期]]),99999)*100000+N(tblProjects[[#This Row],[ID番号]])</f>
        <v>4630400020</v>
      </c>
      <c r="AE7" s="58">
        <f>IF(tblProjects[[#This Row],[案件ID]]="","",COUNTIFS(tblProjects[並びキー],"&lt;"&amp;tblProjects[[#This Row],[並びキー]],tblProjects[案件ID],"?*")+1)</f>
        <v>2</v>
      </c>
      <c r="AF7" s="58">
        <f>IF(tblProjects[[#This Row],[ホーム対象]]=1,COUNTIFS(tblProjects[ホーム対象],1,tblProjects[並びキー],"&lt;"&amp;tblProjects[[#This Row],[並びキー]])+1,"")</f>
        <v>2</v>
      </c>
      <c r="AG7" s="58">
        <f>IFERROR(VALUE(MID(tblProjects[[#This Row],[案件ID]],2,20)),"")</f>
        <v>20</v>
      </c>
    </row>
    <row r="8">
      <c r="A8" s="48" t="inlineStr">
        <is>
          <t>A0021</t>
        </is>
      </c>
      <c r="B8" s="48" t="inlineStr">
        <is>
          <t>C001</t>
        </is>
      </c>
      <c r="C8" s="49" t="inlineStr">
        <is>
          <t>サンプル搬送機器株式会社</t>
        </is>
      </c>
      <c r="D8" s="49" t="inlineStr">
        <is>
          <t>自動倉庫コンベヤ増設工事</t>
        </is>
      </c>
      <c r="E8" s="50" t="inlineStr">
        <is>
          <t>高橋</t>
        </is>
      </c>
      <c r="F8" s="51" t="n">
        <v>46325</v>
      </c>
      <c r="G8" s="51" t="n">
        <v>46323</v>
      </c>
      <c r="H8" s="50" t="inlineStr">
        <is>
          <t>進行中</t>
        </is>
      </c>
      <c r="I8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>納期遅れ見込（予定ベース）</v>
      </c>
      <c r="J8" s="53">
        <f>IF(OR(tblProjects[[#This Row],[案件ID]]="",NOT(ISNUMBER(tblProjects[[#This Row],[顧客納期]]))),"",tblProjects[[#This Row],[顧客納期]]-RefDate)</f>
        <v>25</v>
      </c>
      <c r="K8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>部材の発注・製作（協力会社C）</v>
      </c>
      <c r="L8" s="54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>0.449315068493151</v>
      </c>
      <c r="M8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>工数加重平均</v>
      </c>
      <c r="N8" s="56">
        <f>IF(tblProjects[[#This Row],[案件ID]]="","",COUNTIFS(tblSteps[案件ID],tblProjects[[#This Row],[案件ID]],tblSteps[集計対象],1))</f>
        <v>7</v>
      </c>
      <c r="O8" s="57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>46328.0</v>
      </c>
      <c r="P8" s="57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>46328.0</v>
      </c>
      <c r="Q8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>予定ベース（参考）</v>
      </c>
      <c r="R8" s="49" t="inlineStr">
        <is>
          <t>月をまたぐ工程あり</t>
        </is>
      </c>
      <c r="S8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8" s="58">
        <f>IF(tblProjects[[#This Row],[案件ID]]="",0,COUNTIFS(tblSteps[案件ID],tblProjects[[#This Row],[案件ID]],tblSteps[集計対象],1,tblSteps[工数あり],1))</f>
        <v>7</v>
      </c>
      <c r="U8" s="58">
        <f>IF(tblProjects[[#This Row],[案件ID]]="",0,SUMIFS(tblSteps[計画工数（時間）],tblSteps[案件ID],tblProjects[[#This Row],[案件ID]],tblSteps[集計対象],1))</f>
        <v>365</v>
      </c>
      <c r="V8" s="58">
        <f>IF(tblProjects[[#This Row],[案件ID]]="",0,SUMIFS(tblSteps[加重進捗],tblSteps[案件ID],tblProjects[[#This Row],[案件ID]],tblSteps[集計対象],1))</f>
        <v>164</v>
      </c>
      <c r="W8" s="58">
        <f>IF(tblProjects[[#This Row],[案件ID]]="",0,SUMIFS(tblSteps[進捗値],tblSteps[案件ID],tblProjects[[#This Row],[案件ID]],tblSteps[集計対象],1))</f>
        <v>1.7</v>
      </c>
      <c r="X8" s="58">
        <f>IF(tblProjects[[#This Row],[案件ID]]="",0,COUNTIFS(tblSteps[案件ID],tblProjects[[#This Row],[案件ID]],tblSteps[集計対象],1,tblSteps[完了],1))</f>
        <v>1</v>
      </c>
      <c r="Y8" s="58">
        <f>IF(tblProjects[[#This Row],[案件ID]]="",0,COUNTIFS(tblSteps[案件ID],tblProjects[[#This Row],[案件ID]],tblSteps[集計対象],1,tblSteps[状態],"進行中"))</f>
        <v>1</v>
      </c>
      <c r="Z8" s="58">
        <f>IF(tblProjects[[#This Row],[案件ID]]="",0,COUNTIFS(tblSteps[案件ID],tblProjects[[#This Row],[案件ID]],tblSteps[集計対象],1,tblSteps[完了],0,tblSteps[見込入力],0))</f>
        <v>6</v>
      </c>
      <c r="AA8" s="58">
        <f>IF(tblProjects[[#This Row],[案件ID]]="",0,_xlfn.MINIFS(tblSteps[現在キー],tblSteps[案件ID],tblProjects[[#This Row],[案件ID]]))</f>
        <v>4628600011</v>
      </c>
      <c r="AB8" s="58">
        <f>IF(tblProjects[[#This Row],[案件ID]]="",0,_xlfn.MINIFS(tblSteps[次キー],tblSteps[案件ID],tblProjects[[#This Row],[案件ID]]))</f>
        <v>4630000012</v>
      </c>
      <c r="AC8" s="58">
        <f>IF(AND(tblProjects[[#This Row],[案件ID]]&lt;&gt;"",tblProjects[[#This Row],[状態]]&lt;&gt;"完了",tblProjects[[#This Row],[状態]]&lt;&gt;"取消"),1,0)</f>
        <v>1</v>
      </c>
      <c r="AD8" s="58">
        <f>IF(ISNUMBER(tblProjects[[#This Row],[顧客納期]]),INT(tblProjects[[#This Row],[顧客納期]]),99999)*100000+N(tblProjects[[#This Row],[ID番号]])</f>
        <v>4632500021</v>
      </c>
      <c r="AE8" s="58">
        <f>IF(tblProjects[[#This Row],[案件ID]]="","",COUNTIFS(tblProjects[並びキー],"&lt;"&amp;tblProjects[[#This Row],[並びキー]],tblProjects[案件ID],"?*")+1)</f>
        <v>4</v>
      </c>
      <c r="AF8" s="58">
        <f>IF(tblProjects[[#This Row],[ホーム対象]]=1,COUNTIFS(tblProjects[ホーム対象],1,tblProjects[並びキー],"&lt;"&amp;tblProjects[[#This Row],[並びキー]])+1,"")</f>
        <v>4</v>
      </c>
      <c r="AG8" s="58">
        <f>IFERROR(VALUE(MID(tblProjects[[#This Row],[案件ID]],2,20)),"")</f>
        <v>21</v>
      </c>
    </row>
    <row r="9">
      <c r="A9" s="48" t="inlineStr">
        <is>
          <t>A0022</t>
        </is>
      </c>
      <c r="B9" s="48" t="inlineStr">
        <is>
          <t>C008</t>
        </is>
      </c>
      <c r="C9" s="49" t="inlineStr">
        <is>
          <t>例示オートメーション株式会社</t>
        </is>
      </c>
      <c r="D9" s="49" t="inlineStr">
        <is>
          <t>制御盤更新工事</t>
        </is>
      </c>
      <c r="E9" s="50" t="inlineStr">
        <is>
          <t>田中</t>
        </is>
      </c>
      <c r="F9" s="51" t="n">
        <v>46346</v>
      </c>
      <c r="G9" s="51" t="n">
        <v>46344</v>
      </c>
      <c r="H9" s="50" t="inlineStr">
        <is>
          <t>進行中</t>
        </is>
      </c>
      <c r="I9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>予定内（予定ベース）</v>
      </c>
      <c r="J9" s="53">
        <f>IF(OR(tblProjects[[#This Row],[案件ID]]="",NOT(ISNUMBER(tblProjects[[#This Row],[顧客納期]]))),"",tblProjects[[#This Row],[顧客納期]]-RefDate)</f>
        <v>46</v>
      </c>
      <c r="K9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>制御盤製作（協力会社B）</v>
      </c>
      <c r="L9" s="54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>0.216666666666667</v>
      </c>
      <c r="M9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>工数加重平均</v>
      </c>
      <c r="N9" s="56">
        <f>IF(tblProjects[[#This Row],[案件ID]]="","",COUNTIFS(tblSteps[案件ID],tblProjects[[#This Row],[案件ID]],tblSteps[集計対象],1))</f>
        <v>7</v>
      </c>
      <c r="O9" s="57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>46344.0</v>
      </c>
      <c r="P9" s="57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>46344.0</v>
      </c>
      <c r="Q9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>予定ベース（参考）</v>
      </c>
      <c r="R9" s="49" t="n"/>
      <c r="S9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9" s="58">
        <f>IF(tblProjects[[#This Row],[案件ID]]="",0,COUNTIFS(tblSteps[案件ID],tblProjects[[#This Row],[案件ID]],tblSteps[集計対象],1,tblSteps[工数あり],1))</f>
        <v>7</v>
      </c>
      <c r="U9" s="58">
        <f>IF(tblProjects[[#This Row],[案件ID]]="",0,SUMIFS(tblSteps[計画工数（時間）],tblSteps[案件ID],tblProjects[[#This Row],[案件ID]],tblSteps[集計対象],1))</f>
        <v>240</v>
      </c>
      <c r="V9" s="58">
        <f>IF(tblProjects[[#This Row],[案件ID]]="",0,SUMIFS(tblSteps[加重進捗],tblSteps[案件ID],tblProjects[[#This Row],[案件ID]],tblSteps[集計対象],1))</f>
        <v>52</v>
      </c>
      <c r="W9" s="58">
        <f>IF(tblProjects[[#This Row],[案件ID]]="",0,SUMIFS(tblSteps[進捗値],tblSteps[案件ID],tblProjects[[#This Row],[案件ID]],tblSteps[集計対象],1))</f>
        <v>1.2</v>
      </c>
      <c r="X9" s="58">
        <f>IF(tblProjects[[#This Row],[案件ID]]="",0,COUNTIFS(tblSteps[案件ID],tblProjects[[#This Row],[案件ID]],tblSteps[集計対象],1,tblSteps[完了],1))</f>
        <v>1</v>
      </c>
      <c r="Y9" s="58">
        <f>IF(tblProjects[[#This Row],[案件ID]]="",0,COUNTIFS(tblSteps[案件ID],tblProjects[[#This Row],[案件ID]],tblSteps[集計対象],1,tblSteps[状態],"進行中"))</f>
        <v>1</v>
      </c>
      <c r="Z9" s="58">
        <f>IF(tblProjects[[#This Row],[案件ID]]="",0,COUNTIFS(tblSteps[案件ID],tblProjects[[#This Row],[案件ID]],tblSteps[集計対象],1,tblSteps[完了],0,tblSteps[見込入力],0))</f>
        <v>5</v>
      </c>
      <c r="AA9" s="58">
        <f>IF(tblProjects[[#This Row],[案件ID]]="",0,_xlfn.MINIFS(tblSteps[現在キー],tblSteps[案件ID],tblProjects[[#This Row],[案件ID]]))</f>
        <v>4629700017</v>
      </c>
      <c r="AB9" s="58">
        <f>IF(tblProjects[[#This Row],[案件ID]]="",0,_xlfn.MINIFS(tblSteps[次キー],tblSteps[案件ID],tblProjects[[#This Row],[案件ID]]))</f>
        <v>4630000018</v>
      </c>
      <c r="AC9" s="58">
        <f>IF(AND(tblProjects[[#This Row],[案件ID]]&lt;&gt;"",tblProjects[[#This Row],[状態]]&lt;&gt;"完了",tblProjects[[#This Row],[状態]]&lt;&gt;"取消"),1,0)</f>
        <v>1</v>
      </c>
      <c r="AD9" s="58">
        <f>IF(ISNUMBER(tblProjects[[#This Row],[顧客納期]]),INT(tblProjects[[#This Row],[顧客納期]]),99999)*100000+N(tblProjects[[#This Row],[ID番号]])</f>
        <v>4634600022</v>
      </c>
      <c r="AE9" s="58">
        <f>IF(tblProjects[[#This Row],[案件ID]]="","",COUNTIFS(tblProjects[並びキー],"&lt;"&amp;tblProjects[[#This Row],[並びキー]],tblProjects[案件ID],"?*")+1)</f>
        <v>5</v>
      </c>
      <c r="AF9" s="58">
        <f>IF(tblProjects[[#This Row],[ホーム対象]]=1,COUNTIFS(tblProjects[ホーム対象],1,tblProjects[並びキー],"&lt;"&amp;tblProjects[[#This Row],[並びキー]])+1,"")</f>
        <v>5</v>
      </c>
      <c r="AG9" s="58">
        <f>IFERROR(VALUE(MID(tblProjects[[#This Row],[案件ID]],2,20)),"")</f>
        <v>22</v>
      </c>
    </row>
    <row r="10">
      <c r="A10" s="48" t="inlineStr">
        <is>
          <t>A0023</t>
        </is>
      </c>
      <c r="B10" s="48" t="inlineStr">
        <is>
          <t>C010</t>
        </is>
      </c>
      <c r="C10" s="49" t="inlineStr">
        <is>
          <t>テスト設備保守株式会社</t>
        </is>
      </c>
      <c r="D10" s="49" t="inlineStr">
        <is>
          <t>定期保守点検（年2回）</t>
        </is>
      </c>
      <c r="E10" s="50" t="inlineStr">
        <is>
          <t>渡辺</t>
        </is>
      </c>
      <c r="F10" s="51" t="n">
        <v>46297</v>
      </c>
      <c r="G10" s="51" t="n">
        <v>46296</v>
      </c>
      <c r="H10" s="50" t="inlineStr">
        <is>
          <t>進行中</t>
        </is>
      </c>
      <c r="I10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>納期超過</v>
      </c>
      <c r="J10" s="53">
        <f>IF(OR(tblProjects[[#This Row],[案件ID]]="",NOT(ISNUMBER(tblProjects[[#This Row],[顧客納期]]))),"",tblProjects[[#This Row],[顧客納期]]-RefDate)</f>
        <v>-3</v>
      </c>
      <c r="K10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>点検作業（渡辺）</v>
      </c>
      <c r="L10" s="54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>0.45</v>
      </c>
      <c r="M10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>工程の単純平均</v>
      </c>
      <c r="N10" s="56">
        <f>IF(tblProjects[[#This Row],[案件ID]]="","",COUNTIFS(tblSteps[案件ID],tblProjects[[#This Row],[案件ID]],tblSteps[集計対象],1))</f>
        <v>4</v>
      </c>
      <c r="O10" s="57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>46302.0</v>
      </c>
      <c r="P10" s="57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>46302.0</v>
      </c>
      <c r="Q10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>予定ベース（参考）</v>
      </c>
      <c r="R10" s="49" t="inlineStr">
        <is>
          <t>顧客納期を過ぎている例</t>
        </is>
      </c>
      <c r="S10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0" s="58">
        <f>IF(tblProjects[[#This Row],[案件ID]]="",0,COUNTIFS(tblSteps[案件ID],tblProjects[[#This Row],[案件ID]],tblSteps[集計対象],1,tblSteps[工数あり],1))</f>
        <v>3</v>
      </c>
      <c r="U10" s="58">
        <f>IF(tblProjects[[#This Row],[案件ID]]="",0,SUMIFS(tblSteps[計画工数（時間）],tblSteps[案件ID],tblProjects[[#This Row],[案件ID]],tblSteps[集計対象],1))</f>
        <v>34</v>
      </c>
      <c r="V10" s="58">
        <f>IF(tblProjects[[#This Row],[案件ID]]="",0,SUMIFS(tblSteps[加重進捗],tblSteps[案件ID],tblProjects[[#This Row],[案件ID]],tblSteps[集計対象],1))</f>
        <v>25.2</v>
      </c>
      <c r="W10" s="58">
        <f>IF(tblProjects[[#This Row],[案件ID]]="",0,SUMIFS(tblSteps[進捗値],tblSteps[案件ID],tblProjects[[#This Row],[案件ID]],tblSteps[集計対象],1))</f>
        <v>1.8</v>
      </c>
      <c r="X10" s="58">
        <f>IF(tblProjects[[#This Row],[案件ID]]="",0,COUNTIFS(tblSteps[案件ID],tblProjects[[#This Row],[案件ID]],tblSteps[集計対象],1,tblSteps[完了],1))</f>
        <v>1</v>
      </c>
      <c r="Y10" s="58">
        <f>IF(tblProjects[[#This Row],[案件ID]]="",0,COUNTIFS(tblSteps[案件ID],tblProjects[[#This Row],[案件ID]],tblSteps[集計対象],1,tblSteps[状態],"進行中"))</f>
        <v>1</v>
      </c>
      <c r="Z10" s="58">
        <f>IF(tblProjects[[#This Row],[案件ID]]="",0,COUNTIFS(tblSteps[案件ID],tblProjects[[#This Row],[案件ID]],tblSteps[集計対象],1,tblSteps[完了],0,tblSteps[見込入力],0))</f>
        <v>3</v>
      </c>
      <c r="AA10" s="58">
        <f>IF(tblProjects[[#This Row],[案件ID]]="",0,_xlfn.MINIFS(tblSteps[現在キー],tblSteps[案件ID],tblProjects[[#This Row],[案件ID]]))</f>
        <v>4629400022</v>
      </c>
      <c r="AB10" s="58">
        <f>IF(tblProjects[[#This Row],[案件ID]]="",0,_xlfn.MINIFS(tblSteps[次キー],tblSteps[案件ID],tblProjects[[#This Row],[案件ID]]))</f>
        <v>4629700023</v>
      </c>
      <c r="AC10" s="58">
        <f>IF(AND(tblProjects[[#This Row],[案件ID]]&lt;&gt;"",tblProjects[[#This Row],[状態]]&lt;&gt;"完了",tblProjects[[#This Row],[状態]]&lt;&gt;"取消"),1,0)</f>
        <v>1</v>
      </c>
      <c r="AD10" s="58">
        <f>IF(ISNUMBER(tblProjects[[#This Row],[顧客納期]]),INT(tblProjects[[#This Row],[顧客納期]]),99999)*100000+N(tblProjects[[#This Row],[ID番号]])</f>
        <v>4629700023</v>
      </c>
      <c r="AE10" s="58">
        <f>IF(tblProjects[[#This Row],[案件ID]]="","",COUNTIFS(tblProjects[並びキー],"&lt;"&amp;tblProjects[[#This Row],[並びキー]],tblProjects[案件ID],"?*")+1)</f>
        <v>1</v>
      </c>
      <c r="AF10" s="58">
        <f>IF(tblProjects[[#This Row],[ホーム対象]]=1,COUNTIFS(tblProjects[ホーム対象],1,tblProjects[並びキー],"&lt;"&amp;tblProjects[[#This Row],[並びキー]])+1,"")</f>
        <v>1</v>
      </c>
      <c r="AG10" s="58">
        <f>IFERROR(VALUE(MID(tblProjects[[#This Row],[案件ID]],2,20)),"")</f>
        <v>23</v>
      </c>
    </row>
  </sheetData>
  <mergeCells count="1">
    <mergeCell ref="N1:P1"/>
  </mergeCells>
  <conditionalFormatting sqref="I6:I2000">
    <cfRule type="expression" priority="1" dxfId="3" stopIfTrue="1">
      <formula>OR(LEFT(I6,4)="納期超過",LEFT(I6,6)="納期遅れ見込")</formula>
    </cfRule>
    <cfRule type="expression" priority="2" dxfId="2" stopIfTrue="1">
      <formula>OR(LEFT(I6,4)="納期迫る",I6="納期未設定",I6="工程未登録")</formula>
    </cfRule>
    <cfRule type="expression" priority="3" dxfId="4" stopIfTrue="1">
      <formula>LEFT(I6,2)="完了"</formula>
    </cfRule>
  </conditionalFormatting>
  <conditionalFormatting sqref="S6:S2000">
    <cfRule type="expression" priority="4" dxfId="2" stopIfTrue="1">
      <formula>S6&lt;&gt;""</formula>
    </cfRule>
  </conditionalFormatting>
  <conditionalFormatting sqref="L6:L2000">
    <cfRule type="dataBar" priority="5">
      <dataBar showValue="1">
        <cfvo type="num" val="0"/>
        <cfvo type="num" val="1"/>
        <color rgb="002F6BDB"/>
      </dataBar>
    </cfRule>
  </conditionalFormatting>
  <dataValidations count="5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E6:E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F6:F2000" showDropDown="0" showInputMessage="1" showErrorMessage="1" allowBlank="1" errorTitle="日付を入力" error="日付（例 2026/10/05）を入力してください。" promptTitle="入力方法" prompt="顧客と約束した納期。工程を動かしても自動では変わりません。" type="date" errorStyle="stop" operator="between">
      <formula1>36526</formula1>
      <formula2>73051</formula2>
    </dataValidation>
    <dataValidation sqref="G6:G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H6:H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=dv_ProjStatus</formula1>
    </dataValidation>
  </dataValidations>
  <hyperlinks>
    <hyperlink ref="Q1" location="'01_全体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BR35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8" customWidth="1" min="3" max="3"/>
    <col width="20" customWidth="1" min="4" max="4"/>
    <col width="10" customWidth="1" min="5" max="5"/>
    <col width="8" customWidth="1" min="6" max="6"/>
    <col width="7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22" customWidth="1" min="13" max="13"/>
    <col width="11" customWidth="1" min="14" max="14"/>
    <col width="8" customWidth="1" min="15" max="15"/>
    <col width="8" customWidth="1" min="16" max="16"/>
    <col width="9" customWidth="1" min="17" max="17"/>
    <col width="9" customWidth="1" min="18" max="18"/>
    <col width="24" customWidth="1" min="19" max="19"/>
    <col width="26" customWidth="1" min="20" max="20"/>
    <col width="6" customWidth="1" min="21" max="21"/>
    <col width="6" customWidth="1" min="22" max="22"/>
    <col width="6" customWidth="1" min="23" max="23"/>
    <col width="6" customWidth="1" min="24" max="24"/>
    <col width="5" customWidth="1" min="25" max="25"/>
    <col width="5" customWidth="1" min="26" max="26"/>
    <col width="7" customWidth="1" min="27" max="27"/>
    <col width="7" customWidth="1" min="28" max="28"/>
    <col width="10" customWidth="1" min="29" max="29"/>
    <col width="10" customWidth="1" min="30" max="30"/>
    <col width="5" customWidth="1" min="31" max="31"/>
    <col width="6" customWidth="1" min="32" max="32"/>
    <col width="5" customWidth="1" min="33" max="33"/>
    <col width="7" customWidth="1" min="34" max="34"/>
    <col width="5" customWidth="1" min="35" max="35"/>
    <col width="10" customWidth="1" min="36" max="36"/>
    <col width="5" customWidth="1" min="37" max="37"/>
    <col width="5" customWidth="1" min="38" max="38"/>
    <col width="5" customWidth="1" min="39" max="39"/>
    <col width="5" customWidth="1" min="40" max="40"/>
    <col width="5" customWidth="1" min="41" max="41"/>
    <col width="5" customWidth="1" min="42" max="42"/>
    <col width="10" customWidth="1" min="43" max="43"/>
    <col width="5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  <col width="11" customWidth="1" min="54" max="54"/>
    <col width="11" customWidth="1" min="55" max="55"/>
    <col width="13" customWidth="1" min="56" max="56"/>
    <col width="6" customWidth="1" min="57" max="57"/>
    <col width="6" customWidth="1" min="58" max="58"/>
    <col width="6" customWidth="1" min="59" max="59"/>
    <col width="6" customWidth="1" min="60" max="60"/>
    <col width="6" customWidth="1" min="61" max="61"/>
    <col width="6" customWidth="1" min="62" max="62"/>
    <col width="6" customWidth="1" min="63" max="63"/>
    <col width="13" customWidth="1" min="64" max="64"/>
    <col width="6" customWidth="1" min="65" max="65"/>
    <col width="6" customWidth="1" min="66" max="66"/>
    <col width="13" customWidth="1" min="67" max="67"/>
    <col width="6" customWidth="1" min="68" max="68"/>
    <col width="6" customWidth="1" min="69" max="69"/>
    <col width="6" customWidth="1" min="70" max="70"/>
  </cols>
  <sheetData>
    <row r="1" ht="30" customHeight="1">
      <c r="A1" s="1" t="inlineStr">
        <is>
          <t>工程入力（1行＝1工程）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サンプル（架空データ）</t>
        </is>
      </c>
      <c r="N1" s="35" t="inlineStr">
        <is>
          <t>← ホームへ</t>
        </is>
      </c>
    </row>
    <row r="2" ht="20" customHeight="1">
      <c r="A2" s="4" t="inlineStr">
        <is>
          <t>計画・実績・完了見込を分けて入力します。横棒・注意・重複は自動表示です。</t>
        </is>
      </c>
    </row>
    <row r="3" ht="22" customHeight="1">
      <c r="A3" s="36" t="inlineStr">
        <is>
          <t>凡例</t>
        </is>
      </c>
      <c r="B3" s="37" t="inlineStr">
        <is>
          <t>入力</t>
        </is>
      </c>
      <c r="C3" s="38" t="inlineStr">
        <is>
          <t>自動計算</t>
        </is>
      </c>
      <c r="D3" s="39" t="inlineStr">
        <is>
          <t>計算用（編集しない）</t>
        </is>
      </c>
      <c r="E3" s="40" t="inlineStr">
        <is>
          <t>注意・要確認</t>
        </is>
      </c>
      <c r="F3" s="41" t="inlineStr">
        <is>
          <t>期限超過</t>
        </is>
      </c>
      <c r="K3" s="42" t="inlineStr">
        <is>
          <t>次の工程ID候補</t>
        </is>
      </c>
      <c r="L3" s="43" t="str">
        <f>"S"&amp;TEXT(MAX(0,MAX(tblSteps[ID番号]))+1,"0000")</f>
        <v>S0031</v>
      </c>
      <c r="M3" s="44" t="inlineStr">
        <is>
          <t>← 新しい行のIDはこれを見て値で入力（自動では付きません）</t>
        </is>
      </c>
    </row>
    <row r="4" ht="6" customHeight="1"/>
    <row r="5" ht="36" customHeight="1">
      <c r="A5" s="45" t="inlineStr">
        <is>
          <t>工程ID</t>
        </is>
      </c>
      <c r="B5" s="45" t="inlineStr">
        <is>
          <t>案件ID</t>
        </is>
      </c>
      <c r="C5" s="46" t="inlineStr">
        <is>
          <t>案件名</t>
        </is>
      </c>
      <c r="D5" s="45" t="inlineStr">
        <is>
          <t>工程名</t>
        </is>
      </c>
      <c r="E5" s="45" t="inlineStr">
        <is>
          <t>担当</t>
        </is>
      </c>
      <c r="F5" s="45" t="inlineStr">
        <is>
          <t>状態</t>
        </is>
      </c>
      <c r="G5" s="45" t="inlineStr">
        <is>
          <t>進捗率</t>
        </is>
      </c>
      <c r="H5" s="45" t="inlineStr">
        <is>
          <t>計画開始日</t>
        </is>
      </c>
      <c r="I5" s="45" t="inlineStr">
        <is>
          <t>計画終了日</t>
        </is>
      </c>
      <c r="J5" s="45" t="inlineStr">
        <is>
          <t>完了見込日</t>
        </is>
      </c>
      <c r="K5" s="45" t="inlineStr">
        <is>
          <t>実績開始日</t>
        </is>
      </c>
      <c r="L5" s="45" t="inlineStr">
        <is>
          <t>実績終了日</t>
        </is>
      </c>
      <c r="M5" s="46" t="inlineStr">
        <is>
          <t>注意</t>
        </is>
      </c>
      <c r="N5" s="46" t="inlineStr">
        <is>
          <t>顧客納期</t>
        </is>
      </c>
      <c r="O5" s="45" t="inlineStr">
        <is>
          <t>開始時刻</t>
        </is>
      </c>
      <c r="P5" s="45" t="inlineStr">
        <is>
          <t>終了時刻</t>
        </is>
      </c>
      <c r="Q5" s="45" t="inlineStr">
        <is>
          <t>計画工数（時間）</t>
        </is>
      </c>
      <c r="R5" s="45" t="inlineStr">
        <is>
          <t>先行工程ID</t>
        </is>
      </c>
      <c r="S5" s="45" t="inlineStr">
        <is>
          <t>懸念事項</t>
        </is>
      </c>
      <c r="T5" s="46" t="inlineStr">
        <is>
          <t>入力チェック</t>
        </is>
      </c>
      <c r="U5" s="47" t="inlineStr">
        <is>
          <t>ID番号</t>
        </is>
      </c>
      <c r="V5" s="47" t="inlineStr">
        <is>
          <t>案件行</t>
        </is>
      </c>
      <c r="W5" s="47" t="inlineStr">
        <is>
          <t>表示可能</t>
        </is>
      </c>
      <c r="X5" s="47" t="inlineStr">
        <is>
          <t>集計対象</t>
        </is>
      </c>
      <c r="Y5" s="47" t="inlineStr">
        <is>
          <t>完了</t>
        </is>
      </c>
      <c r="Z5" s="47" t="inlineStr">
        <is>
          <t>日付OK</t>
        </is>
      </c>
      <c r="AA5" s="47" t="inlineStr">
        <is>
          <t>開始時刻値</t>
        </is>
      </c>
      <c r="AB5" s="47" t="inlineStr">
        <is>
          <t>終了時刻値</t>
        </is>
      </c>
      <c r="AC5" s="47" t="inlineStr">
        <is>
          <t>開始分</t>
        </is>
      </c>
      <c r="AD5" s="47" t="inlineStr">
        <is>
          <t>終了分</t>
        </is>
      </c>
      <c r="AE5" s="47" t="inlineStr">
        <is>
          <t>時刻OK</t>
        </is>
      </c>
      <c r="AF5" s="47" t="inlineStr">
        <is>
          <t>進捗値</t>
        </is>
      </c>
      <c r="AG5" s="47" t="inlineStr">
        <is>
          <t>工数あり</t>
        </is>
      </c>
      <c r="AH5" s="47" t="inlineStr">
        <is>
          <t>加重進捗</t>
        </is>
      </c>
      <c r="AI5" s="47" t="inlineStr">
        <is>
          <t>見込入力</t>
        </is>
      </c>
      <c r="AJ5" s="47" t="inlineStr">
        <is>
          <t>見込終了</t>
        </is>
      </c>
      <c r="AK5" s="47" t="inlineStr">
        <is>
          <t>遅れ日数</t>
        </is>
      </c>
      <c r="AL5" s="47" t="inlineStr">
        <is>
          <t>見込遅れ日数</t>
        </is>
      </c>
      <c r="AM5" s="47" t="inlineStr">
        <is>
          <t>完了遅延日数</t>
        </is>
      </c>
      <c r="AN5" s="47" t="inlineStr">
        <is>
          <t>納期超過見込</t>
        </is>
      </c>
      <c r="AO5" s="47" t="inlineStr">
        <is>
          <t>重複対象</t>
        </is>
      </c>
      <c r="AP5" s="47" t="inlineStr">
        <is>
          <t>重複数</t>
        </is>
      </c>
      <c r="AQ5" s="47" t="inlineStr">
        <is>
          <t>注意短</t>
        </is>
      </c>
      <c r="AR5" s="47" t="inlineStr">
        <is>
          <t>重要度</t>
        </is>
      </c>
      <c r="AS5" s="47" t="inlineStr">
        <is>
          <t>計開</t>
        </is>
      </c>
      <c r="AT5" s="47" t="inlineStr">
        <is>
          <t>計終</t>
        </is>
      </c>
      <c r="AU5" s="47" t="inlineStr">
        <is>
          <t>実開</t>
        </is>
      </c>
      <c r="AV5" s="47" t="inlineStr">
        <is>
          <t>実終</t>
        </is>
      </c>
      <c r="AW5" s="47" t="inlineStr">
        <is>
          <t>遅開</t>
        </is>
      </c>
      <c r="AX5" s="47" t="inlineStr">
        <is>
          <t>遅終</t>
        </is>
      </c>
      <c r="AY5" s="47" t="inlineStr">
        <is>
          <t>納期値</t>
        </is>
      </c>
      <c r="AZ5" s="47" t="inlineStr">
        <is>
          <t>表示始</t>
        </is>
      </c>
      <c r="BA5" s="47" t="inlineStr">
        <is>
          <t>表示終</t>
        </is>
      </c>
      <c r="BB5" s="47" t="inlineStr">
        <is>
          <t>現在キー</t>
        </is>
      </c>
      <c r="BC5" s="47" t="inlineStr">
        <is>
          <t>次キー</t>
        </is>
      </c>
      <c r="BD5" s="47" t="inlineStr">
        <is>
          <t>並びキー</t>
        </is>
      </c>
      <c r="BE5" s="47" t="inlineStr">
        <is>
          <t>日別対象</t>
        </is>
      </c>
      <c r="BF5" s="47" t="inlineStr">
        <is>
          <t>日別期間外</t>
        </is>
      </c>
      <c r="BG5" s="47" t="inlineStr">
        <is>
          <t>日別順位</t>
        </is>
      </c>
      <c r="BH5" s="47" t="inlineStr">
        <is>
          <t>週別対象</t>
        </is>
      </c>
      <c r="BI5" s="47" t="inlineStr">
        <is>
          <t>週別期間外</t>
        </is>
      </c>
      <c r="BJ5" s="47" t="inlineStr">
        <is>
          <t>週別順位</t>
        </is>
      </c>
      <c r="BK5" s="47" t="inlineStr">
        <is>
          <t>時間割対象</t>
        </is>
      </c>
      <c r="BL5" s="47" t="inlineStr">
        <is>
          <t>時間割キー</t>
        </is>
      </c>
      <c r="BM5" s="47" t="inlineStr">
        <is>
          <t>時間割順位</t>
        </is>
      </c>
      <c r="BN5" s="47" t="inlineStr">
        <is>
          <t>ホーム注意対象</t>
        </is>
      </c>
      <c r="BO5" s="47" t="inlineStr">
        <is>
          <t>ホーム注意キー</t>
        </is>
      </c>
      <c r="BP5" s="47" t="inlineStr">
        <is>
          <t>ホーム注意順位</t>
        </is>
      </c>
      <c r="BQ5" s="47" t="inlineStr">
        <is>
          <t>完了遅延対象</t>
        </is>
      </c>
      <c r="BR5" s="47" t="inlineStr">
        <is>
          <t>完了遅延順位</t>
        </is>
      </c>
    </row>
    <row r="6">
      <c r="A6" s="48" t="inlineStr">
        <is>
          <t>S0001</t>
        </is>
      </c>
      <c r="B6" s="48" t="inlineStr">
        <is>
          <t>A0008</t>
        </is>
      </c>
      <c r="C6" s="52" t="str">
        <f>IF(tblSteps[[#This Row],[案件ID]]="","",IF(tblSteps[[#This Row],[案件行]]="","（未登録の案件ID）",INDEX(tblProjects[案件名],tblSteps[[#This Row],[案件行]])&amp;""))</f>
        <v>工作機械の搬入・据付</v>
      </c>
      <c r="D6" s="49" t="inlineStr">
        <is>
          <t>現地調査</t>
        </is>
      </c>
      <c r="E6" s="50" t="inlineStr">
        <is>
          <t>田中</t>
        </is>
      </c>
      <c r="F6" s="50" t="inlineStr">
        <is>
          <t>完了</t>
        </is>
      </c>
      <c r="G6" s="59" t="n">
        <v>1</v>
      </c>
      <c r="H6" s="51" t="n">
        <v>46279</v>
      </c>
      <c r="I6" s="51" t="n">
        <v>46280</v>
      </c>
      <c r="J6" s="51" t="n"/>
      <c r="K6" s="51" t="n">
        <v>46279</v>
      </c>
      <c r="L6" s="51" t="n">
        <v>46280</v>
      </c>
      <c r="M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" s="57">
        <f>IF(tblSteps[[#This Row],[案件行]]="","",IF(ISNUMBER(INDEX(tblProjects[顧客納期],tblSteps[[#This Row],[案件行]])),INDEX(tblProjects[顧客納期],tblSteps[[#This Row],[案件行]]),""))</f>
        <v>46311.0</v>
      </c>
      <c r="O6" s="60" t="n"/>
      <c r="P6" s="60" t="n"/>
      <c r="Q6" s="61" t="n">
        <v>12</v>
      </c>
      <c r="R6" s="48" t="n"/>
      <c r="S6" s="49" t="n"/>
      <c r="T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" s="58">
        <f>IFERROR(VALUE(MID(tblSteps[[#This Row],[工程ID]],2,20)),"")</f>
        <v>1</v>
      </c>
      <c r="V6" s="58">
        <f>IF(tblSteps[[#This Row],[案件ID]]="","",IFERROR(MATCH(tblSteps[[#This Row],[案件ID]],tblProjects[案件ID],0),""))</f>
        <v>1</v>
      </c>
      <c r="W6" s="58">
        <f>IF(AND(tblSteps[[#This Row],[工程ID]]&lt;&gt;"",tblSteps[[#This Row],[状態]]&lt;&gt;"取消"),1,0)</f>
        <v>1</v>
      </c>
      <c r="X6" s="58">
        <f>IF(AND(tblSteps[[#This Row],[工程ID]]&lt;&gt;"",tblSteps[[#This Row],[案件行]]&lt;&gt;"",tblSteps[[#This Row],[状態]]&lt;&gt;"取消"),1,0)</f>
        <v>1</v>
      </c>
      <c r="Y6" s="58">
        <f>IF(tblSteps[[#This Row],[状態]]="完了",1,0)</f>
        <v>1</v>
      </c>
      <c r="Z6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6" s="62">
        <f>IF(ISNUMBER(tblSteps[[#This Row],[開始時刻]]),MOD(tblSteps[[#This Row],[開始時刻]],1),DefStart)</f>
        <v>0.375</v>
      </c>
      <c r="AB6" s="62">
        <f>IF(ISNUMBER(tblSteps[[#This Row],[終了時刻]]),MOD(tblSteps[[#This Row],[終了時刻]],1),DefEnd)</f>
        <v>0.75</v>
      </c>
      <c r="AC6" s="58">
        <f>IF(tblSteps[[#This Row],[日付OK]]=1,ROUND((INT(tblSteps[[#This Row],[計画開始日]])+tblSteps[[#This Row],[開始時刻値]])*1440,0),"")</f>
        <v>66642300</v>
      </c>
      <c r="AD6" s="58">
        <f>IF(tblSteps[[#This Row],[日付OK]]=1,ROUND((INT(tblSteps[[#This Row],[計画終了日]])+tblSteps[[#This Row],[終了時刻値]])*1440,0),"")</f>
        <v>66644280</v>
      </c>
      <c r="AE6" s="58">
        <f>IF(tblSteps[[#This Row],[日付OK]]=0,0,IF(tblSteps[[#This Row],[終了分]]&gt;tblSteps[[#This Row],[開始分]],1,0))</f>
        <v>1</v>
      </c>
      <c r="AF6" s="58">
        <f>IF(ISNUMBER(tblSteps[[#This Row],[進捗率]]),MAX(0,MIN(1,tblSteps[[#This Row],[進捗率]])),0)</f>
        <v>1</v>
      </c>
      <c r="AG6" s="58">
        <f>IF(AND(ISNUMBER(tblSteps[[#This Row],[計画工数（時間）]]),N(tblSteps[[#This Row],[計画工数（時間）]])&gt;0),1,0)</f>
        <v>1</v>
      </c>
      <c r="AH6" s="58">
        <f>tblSteps[[#This Row],[進捗値]]*N(tblSteps[[#This Row],[計画工数（時間）]])</f>
        <v>12</v>
      </c>
      <c r="AI6" s="58">
        <f>IF(ISNUMBER(tblSteps[[#This Row],[完了見込日]]),1,0)</f>
        <v>0</v>
      </c>
      <c r="AJ6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46280.0</v>
      </c>
      <c r="AK6" s="58">
        <f>IF(AND(tblSteps[[#This Row],[集計対象]]=1,tblSteps[[#This Row],[完了]]=0,tblSteps[[#This Row],[日付OK]]=1),MAX(0,RefDate-INT(tblSteps[[#This Row],[計画終了日]])),0)</f>
        <v>0</v>
      </c>
      <c r="AL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" s="58">
        <f>IF(AND(tblSteps[[#This Row],[集計対象]]=1,tblSteps[[#This Row],[完了]]=0,tblSteps[[#This Row],[時刻OK]]=1,tblSteps[[#This Row],[担当]]&lt;&gt;""),1,0)</f>
        <v>0</v>
      </c>
      <c r="AP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完了</v>
      </c>
      <c r="AR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" s="58">
        <f>IF(tblSteps[[#This Row],[日付OK]]=1,INT(tblSteps[[#This Row],[計画開始日]]),1)</f>
        <v>46279</v>
      </c>
      <c r="AT6" s="58">
        <f>IF(tblSteps[[#This Row],[日付OK]]=1,INT(tblSteps[[#This Row],[計画終了日]]),0)</f>
        <v>46280</v>
      </c>
      <c r="AU6" s="58">
        <f>IF(ISNUMBER(tblSteps[[#This Row],[実績開始日]]),INT(tblSteps[[#This Row],[実績開始日]]),1)</f>
        <v>46279</v>
      </c>
      <c r="AV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46280</v>
      </c>
      <c r="AW6" s="58">
        <f>IF(AND(tblSteps[[#This Row],[集計対象]]=1,tblSteps[[#This Row],[完了]]=0,tblSteps[[#This Row],[日付OK]]=1),INT(tblSteps[[#This Row],[計画終了日]])+1,1)</f>
        <v>1</v>
      </c>
      <c r="AX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" s="58">
        <f>IF(ISNUMBER(tblSteps[[#This Row],[顧客納期]]),INT(tblSteps[[#This Row],[顧客納期]]),0)</f>
        <v>46311</v>
      </c>
      <c r="AZ6" s="58">
        <f>IF(tblSteps[[#This Row],[日付OK]]=0,"",MIN(tblSteps[[#This Row],[計開]],IF(ISNUMBER(tblSteps[[#This Row],[実績開始日]]),tblSteps[[#This Row],[実開]],tblSteps[[#This Row],[計開]])))</f>
        <v>46279</v>
      </c>
      <c r="BA6" s="58">
        <f>IF(tblSteps[[#This Row],[日付OK]]=0,"",MAX(tblSteps[[#This Row],[計終]],tblSteps[[#This Row],[実終]],tblSteps[[#This Row],[遅終]]))</f>
        <v>46280</v>
      </c>
      <c r="BB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34627900001</v>
      </c>
      <c r="BE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1</v>
      </c>
      <c r="BG6" s="58" t="str">
        <f>IF(tblSteps[[#This Row],[日別対象]]=1,COUNTIFS(tblSteps[日別対象],1,tblSteps[並びキー],"&lt;"&amp;tblSteps[[#This Row],[並びキー]])+1,"")</f>
        <v/>
      </c>
      <c r="BH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1</v>
      </c>
      <c r="BJ6" s="58" t="str">
        <f>IF(tblSteps[[#This Row],[週別対象]]=1,COUNTIFS(tblSteps[週別対象],1,tblSteps[並びキー],"&lt;"&amp;tblSteps[[#This Row],[並びキー]])+1,"")</f>
        <v/>
      </c>
      <c r="BK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" s="58">
        <f>IFERROR(MATCH(tblSteps[[#This Row],[担当]],lst_Staff,0),99)*1000000000000+N(tblSteps[[#This Row],[開始分]])*10000+MOD(N(tblSteps[[#This Row],[ID番号]]),10000)</f>
        <v>1666423000001</v>
      </c>
      <c r="BM6" s="58" t="str">
        <f>IF(tblSteps[[#This Row],[時間割対象]]=1,COUNTIFS(tblSteps[時間割対象],1,tblSteps[時間割キー],"&lt;"&amp;tblSteps[[#This Row],[時間割キー]])+1,"")</f>
        <v/>
      </c>
      <c r="BN6" s="58">
        <f>IF(AND(tblSteps[[#This Row],[表示可能]]=1,tblSteps[[#This Row],[完了]]=0,tblSteps[[#This Row],[重要度]]&gt;0),1,0)</f>
        <v>0</v>
      </c>
      <c r="BO6" s="58">
        <f>tblSteps[[#This Row],[重要度]]*10000000000+IF(tblSteps[[#This Row],[日付OK]]=1,INT(tblSteps[[#This Row],[計画終了日]]),99999)*100000+N(tblSteps[[#This Row],[ID番号]])</f>
        <v>4628000001</v>
      </c>
      <c r="BP6" s="58" t="str">
        <f>IF(tblSteps[[#This Row],[ホーム注意対象]]=1,COUNTIFS(tblSteps[ホーム注意対象],1,tblSteps[ホーム注意キー],"&lt;"&amp;tblSteps[[#This Row],[ホーム注意キー]])+1,"")</f>
        <v/>
      </c>
      <c r="BQ6" s="58">
        <f>IF(tblSteps[[#This Row],[完了遅延日数]]&gt;0,1,0)</f>
        <v>0</v>
      </c>
      <c r="BR6" s="58" t="str">
        <f>IF(tblSteps[[#This Row],[完了遅延対象]]=1,COUNTIFS(tblSteps[完了遅延対象],1,tblSteps[並びキー],"&lt;"&amp;tblSteps[[#This Row],[並びキー]])+1,"")</f>
        <v/>
      </c>
    </row>
    <row r="7">
      <c r="A7" s="48" t="inlineStr">
        <is>
          <t>S0002</t>
        </is>
      </c>
      <c r="B7" s="48" t="inlineStr">
        <is>
          <t>A0008</t>
        </is>
      </c>
      <c r="C7" s="52" t="str">
        <f>IF(tblSteps[[#This Row],[案件ID]]="","",IF(tblSteps[[#This Row],[案件行]]="","（未登録の案件ID）",INDEX(tblProjects[案件名],tblSteps[[#This Row],[案件行]])&amp;""))</f>
        <v>工作機械の搬入・据付</v>
      </c>
      <c r="D7" s="49" t="inlineStr">
        <is>
          <t>搬入計画書の作成</t>
        </is>
      </c>
      <c r="E7" s="50" t="inlineStr">
        <is>
          <t>高橋</t>
        </is>
      </c>
      <c r="F7" s="50" t="inlineStr">
        <is>
          <t>完了</t>
        </is>
      </c>
      <c r="G7" s="59" t="n">
        <v>1</v>
      </c>
      <c r="H7" s="51" t="n">
        <v>46281</v>
      </c>
      <c r="I7" s="51" t="n">
        <v>46287</v>
      </c>
      <c r="J7" s="51" t="n"/>
      <c r="K7" s="51" t="n">
        <v>46281</v>
      </c>
      <c r="L7" s="51" t="n">
        <v>46289</v>
      </c>
      <c r="M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完了遅延（実績2日）</v>
      </c>
      <c r="N7" s="57">
        <f>IF(tblSteps[[#This Row],[案件行]]="","",IF(ISNUMBER(INDEX(tblProjects[顧客納期],tblSteps[[#This Row],[案件行]])),INDEX(tblProjects[顧客納期],tblSteps[[#This Row],[案件行]]),""))</f>
        <v>46311.0</v>
      </c>
      <c r="O7" s="60" t="n"/>
      <c r="P7" s="60" t="n"/>
      <c r="Q7" s="61" t="n">
        <v>24</v>
      </c>
      <c r="R7" s="48" t="inlineStr">
        <is>
          <t>S0001</t>
        </is>
      </c>
      <c r="S7" s="49" t="inlineStr">
        <is>
          <t>顧客確認に2日かかった</t>
        </is>
      </c>
      <c r="T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" s="58">
        <f>IFERROR(VALUE(MID(tblSteps[[#This Row],[工程ID]],2,20)),"")</f>
        <v>2</v>
      </c>
      <c r="V7" s="58">
        <f>IF(tblSteps[[#This Row],[案件ID]]="","",IFERROR(MATCH(tblSteps[[#This Row],[案件ID]],tblProjects[案件ID],0),""))</f>
        <v>1</v>
      </c>
      <c r="W7" s="58">
        <f>IF(AND(tblSteps[[#This Row],[工程ID]]&lt;&gt;"",tblSteps[[#This Row],[状態]]&lt;&gt;"取消"),1,0)</f>
        <v>1</v>
      </c>
      <c r="X7" s="58">
        <f>IF(AND(tblSteps[[#This Row],[工程ID]]&lt;&gt;"",tblSteps[[#This Row],[案件行]]&lt;&gt;"",tblSteps[[#This Row],[状態]]&lt;&gt;"取消"),1,0)</f>
        <v>1</v>
      </c>
      <c r="Y7" s="58">
        <f>IF(tblSteps[[#This Row],[状態]]="完了",1,0)</f>
        <v>1</v>
      </c>
      <c r="Z7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7" s="62">
        <f>IF(ISNUMBER(tblSteps[[#This Row],[開始時刻]]),MOD(tblSteps[[#This Row],[開始時刻]],1),DefStart)</f>
        <v>0.375</v>
      </c>
      <c r="AB7" s="62">
        <f>IF(ISNUMBER(tblSteps[[#This Row],[終了時刻]]),MOD(tblSteps[[#This Row],[終了時刻]],1),DefEnd)</f>
        <v>0.75</v>
      </c>
      <c r="AC7" s="58">
        <f>IF(tblSteps[[#This Row],[日付OK]]=1,ROUND((INT(tblSteps[[#This Row],[計画開始日]])+tblSteps[[#This Row],[開始時刻値]])*1440,0),"")</f>
        <v>66645180</v>
      </c>
      <c r="AD7" s="58">
        <f>IF(tblSteps[[#This Row],[日付OK]]=1,ROUND((INT(tblSteps[[#This Row],[計画終了日]])+tblSteps[[#This Row],[終了時刻値]])*1440,0),"")</f>
        <v>66654360</v>
      </c>
      <c r="AE7" s="58">
        <f>IF(tblSteps[[#This Row],[日付OK]]=0,0,IF(tblSteps[[#This Row],[終了分]]&gt;tblSteps[[#This Row],[開始分]],1,0))</f>
        <v>1</v>
      </c>
      <c r="AF7" s="58">
        <f>IF(ISNUMBER(tblSteps[[#This Row],[進捗率]]),MAX(0,MIN(1,tblSteps[[#This Row],[進捗率]])),0)</f>
        <v>1</v>
      </c>
      <c r="AG7" s="58">
        <f>IF(AND(ISNUMBER(tblSteps[[#This Row],[計画工数（時間）]]),N(tblSteps[[#This Row],[計画工数（時間）]])&gt;0),1,0)</f>
        <v>1</v>
      </c>
      <c r="AH7" s="58">
        <f>tblSteps[[#This Row],[進捗値]]*N(tblSteps[[#This Row],[計画工数（時間）]])</f>
        <v>24</v>
      </c>
      <c r="AI7" s="58">
        <f>IF(ISNUMBER(tblSteps[[#This Row],[完了見込日]]),1,0)</f>
        <v>0</v>
      </c>
      <c r="AJ7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46289.0</v>
      </c>
      <c r="AK7" s="58">
        <f>IF(AND(tblSteps[[#This Row],[集計対象]]=1,tblSteps[[#This Row],[完了]]=0,tblSteps[[#This Row],[日付OK]]=1),MAX(0,RefDate-INT(tblSteps[[#This Row],[計画終了日]])),0)</f>
        <v>0</v>
      </c>
      <c r="AL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2</v>
      </c>
      <c r="AN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" s="58">
        <f>IF(AND(tblSteps[[#This Row],[集計対象]]=1,tblSteps[[#This Row],[完了]]=0,tblSteps[[#This Row],[時刻OK]]=1,tblSteps[[#This Row],[担当]]&lt;&gt;""),1,0)</f>
        <v>0</v>
      </c>
      <c r="AP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完了遅延2日</v>
      </c>
      <c r="AR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" s="58">
        <f>IF(tblSteps[[#This Row],[日付OK]]=1,INT(tblSteps[[#This Row],[計画開始日]]),1)</f>
        <v>46281</v>
      </c>
      <c r="AT7" s="58">
        <f>IF(tblSteps[[#This Row],[日付OK]]=1,INT(tblSteps[[#This Row],[計画終了日]]),0)</f>
        <v>46287</v>
      </c>
      <c r="AU7" s="58">
        <f>IF(ISNUMBER(tblSteps[[#This Row],[実績開始日]]),INT(tblSteps[[#This Row],[実績開始日]]),1)</f>
        <v>46281</v>
      </c>
      <c r="AV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46289</v>
      </c>
      <c r="AW7" s="58">
        <f>IF(AND(tblSteps[[#This Row],[集計対象]]=1,tblSteps[[#This Row],[完了]]=0,tblSteps[[#This Row],[日付OK]]=1),INT(tblSteps[[#This Row],[計画終了日]])+1,1)</f>
        <v>1</v>
      </c>
      <c r="AX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" s="58">
        <f>IF(ISNUMBER(tblSteps[[#This Row],[顧客納期]]),INT(tblSteps[[#This Row],[顧客納期]]),0)</f>
        <v>46311</v>
      </c>
      <c r="AZ7" s="58">
        <f>IF(tblSteps[[#This Row],[日付OK]]=0,"",MIN(tblSteps[[#This Row],[計開]],IF(ISNUMBER(tblSteps[[#This Row],[実績開始日]]),tblSteps[[#This Row],[実開]],tblSteps[[#This Row],[計開]])))</f>
        <v>46281</v>
      </c>
      <c r="BA7" s="58">
        <f>IF(tblSteps[[#This Row],[日付OK]]=0,"",MAX(tblSteps[[#This Row],[計終]],tblSteps[[#This Row],[実終]],tblSteps[[#This Row],[遅終]]))</f>
        <v>46289</v>
      </c>
      <c r="BB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34628100002</v>
      </c>
      <c r="BE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1</v>
      </c>
      <c r="BG7" s="58" t="str">
        <f>IF(tblSteps[[#This Row],[日別対象]]=1,COUNTIFS(tblSteps[日別対象],1,tblSteps[並びキー],"&lt;"&amp;tblSteps[[#This Row],[並びキー]])+1,"")</f>
        <v/>
      </c>
      <c r="BH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" s="58">
        <f>IF(tblSteps[[#This Row],[週別対象]]=1,COUNTIFS(tblSteps[週別対象],1,tblSteps[並びキー],"&lt;"&amp;tblSteps[[#This Row],[並びキー]])+1,"")</f>
        <v>9</v>
      </c>
      <c r="BK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" s="58">
        <f>IFERROR(MATCH(tblSteps[[#This Row],[担当]],lst_Staff,0),99)*1000000000000+N(tblSteps[[#This Row],[開始分]])*10000+MOD(N(tblSteps[[#This Row],[ID番号]]),10000)</f>
        <v>2666451800002</v>
      </c>
      <c r="BM7" s="58" t="str">
        <f>IF(tblSteps[[#This Row],[時間割対象]]=1,COUNTIFS(tblSteps[時間割対象],1,tblSteps[時間割キー],"&lt;"&amp;tblSteps[[#This Row],[時間割キー]])+1,"")</f>
        <v/>
      </c>
      <c r="BN7" s="58">
        <f>IF(AND(tblSteps[[#This Row],[表示可能]]=1,tblSteps[[#This Row],[完了]]=0,tblSteps[[#This Row],[重要度]]&gt;0),1,0)</f>
        <v>0</v>
      </c>
      <c r="BO7" s="58">
        <f>tblSteps[[#This Row],[重要度]]*10000000000+IF(tblSteps[[#This Row],[日付OK]]=1,INT(tblSteps[[#This Row],[計画終了日]]),99999)*100000+N(tblSteps[[#This Row],[ID番号]])</f>
        <v>4628700002</v>
      </c>
      <c r="BP7" s="58" t="str">
        <f>IF(tblSteps[[#This Row],[ホーム注意対象]]=1,COUNTIFS(tblSteps[ホーム注意対象],1,tblSteps[ホーム注意キー],"&lt;"&amp;tblSteps[[#This Row],[ホーム注意キー]])+1,"")</f>
        <v/>
      </c>
      <c r="BQ7" s="58">
        <f>IF(tblSteps[[#This Row],[完了遅延日数]]&gt;0,1,0)</f>
        <v>1</v>
      </c>
      <c r="BR7" s="58">
        <f>IF(tblSteps[[#This Row],[完了遅延対象]]=1,COUNTIFS(tblSteps[完了遅延対象],1,tblSteps[並びキー],"&lt;"&amp;tblSteps[[#This Row],[並びキー]])+1,"")</f>
        <v>1</v>
      </c>
    </row>
    <row r="8">
      <c r="A8" s="48" t="inlineStr">
        <is>
          <t>S0003</t>
        </is>
      </c>
      <c r="B8" s="48" t="inlineStr">
        <is>
          <t>A0008</t>
        </is>
      </c>
      <c r="C8" s="52" t="str">
        <f>IF(tblSteps[[#This Row],[案件ID]]="","",IF(tblSteps[[#This Row],[案件行]]="","（未登録の案件ID）",INDEX(tblProjects[案件名],tblSteps[[#This Row],[案件行]])&amp;""))</f>
        <v>工作機械の搬入・据付</v>
      </c>
      <c r="D8" s="49" t="inlineStr">
        <is>
          <t>基礎工事</t>
        </is>
      </c>
      <c r="E8" s="50" t="inlineStr">
        <is>
          <t>協力会社A</t>
        </is>
      </c>
      <c r="F8" s="50" t="inlineStr">
        <is>
          <t>進行中</t>
        </is>
      </c>
      <c r="G8" s="59" t="n">
        <v>0.6</v>
      </c>
      <c r="H8" s="51" t="n">
        <v>46293</v>
      </c>
      <c r="I8" s="51" t="n">
        <v>46302</v>
      </c>
      <c r="J8" s="51" t="n">
        <v>46304</v>
      </c>
      <c r="K8" s="51" t="n">
        <v>46293</v>
      </c>
      <c r="L8" s="51" t="n"/>
      <c r="M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見込が計画より2日遅い</v>
      </c>
      <c r="N8" s="57">
        <f>IF(tblSteps[[#This Row],[案件行]]="","",IF(ISNUMBER(INDEX(tblProjects[顧客納期],tblSteps[[#This Row],[案件行]])),INDEX(tblProjects[顧客納期],tblSteps[[#This Row],[案件行]]),""))</f>
        <v>46311.0</v>
      </c>
      <c r="O8" s="60" t="n"/>
      <c r="P8" s="60" t="n"/>
      <c r="Q8" s="61" t="n">
        <v>64</v>
      </c>
      <c r="R8" s="48" t="inlineStr">
        <is>
          <t>S0002</t>
        </is>
      </c>
      <c r="S8" s="49" t="inlineStr">
        <is>
          <t>雨天で2日遅れ見込</t>
        </is>
      </c>
      <c r="T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8" s="58">
        <f>IFERROR(VALUE(MID(tblSteps[[#This Row],[工程ID]],2,20)),"")</f>
        <v>3</v>
      </c>
      <c r="V8" s="58">
        <f>IF(tblSteps[[#This Row],[案件ID]]="","",IFERROR(MATCH(tblSteps[[#This Row],[案件ID]],tblProjects[案件ID],0),""))</f>
        <v>1</v>
      </c>
      <c r="W8" s="58">
        <f>IF(AND(tblSteps[[#This Row],[工程ID]]&lt;&gt;"",tblSteps[[#This Row],[状態]]&lt;&gt;"取消"),1,0)</f>
        <v>1</v>
      </c>
      <c r="X8" s="58">
        <f>IF(AND(tblSteps[[#This Row],[工程ID]]&lt;&gt;"",tblSteps[[#This Row],[案件行]]&lt;&gt;"",tblSteps[[#This Row],[状態]]&lt;&gt;"取消"),1,0)</f>
        <v>1</v>
      </c>
      <c r="Y8" s="58">
        <f>IF(tblSteps[[#This Row],[状態]]="完了",1,0)</f>
        <v>0</v>
      </c>
      <c r="Z8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8" s="62">
        <f>IF(ISNUMBER(tblSteps[[#This Row],[開始時刻]]),MOD(tblSteps[[#This Row],[開始時刻]],1),DefStart)</f>
        <v>0.375</v>
      </c>
      <c r="AB8" s="62">
        <f>IF(ISNUMBER(tblSteps[[#This Row],[終了時刻]]),MOD(tblSteps[[#This Row],[終了時刻]],1),DefEnd)</f>
        <v>0.75</v>
      </c>
      <c r="AC8" s="58">
        <f>IF(tblSteps[[#This Row],[日付OK]]=1,ROUND((INT(tblSteps[[#This Row],[計画開始日]])+tblSteps[[#This Row],[開始時刻値]])*1440,0),"")</f>
        <v>66662460</v>
      </c>
      <c r="AD8" s="58">
        <f>IF(tblSteps[[#This Row],[日付OK]]=1,ROUND((INT(tblSteps[[#This Row],[計画終了日]])+tblSteps[[#This Row],[終了時刻値]])*1440,0),"")</f>
        <v>66675960</v>
      </c>
      <c r="AE8" s="58">
        <f>IF(tblSteps[[#This Row],[日付OK]]=0,0,IF(tblSteps[[#This Row],[終了分]]&gt;tblSteps[[#This Row],[開始分]],1,0))</f>
        <v>1</v>
      </c>
      <c r="AF8" s="58">
        <f>IF(ISNUMBER(tblSteps[[#This Row],[進捗率]]),MAX(0,MIN(1,tblSteps[[#This Row],[進捗率]])),0)</f>
        <v>0.6</v>
      </c>
      <c r="AG8" s="58">
        <f>IF(AND(ISNUMBER(tblSteps[[#This Row],[計画工数（時間）]]),N(tblSteps[[#This Row],[計画工数（時間）]])&gt;0),1,0)</f>
        <v>1</v>
      </c>
      <c r="AH8" s="58">
        <f>tblSteps[[#This Row],[進捗値]]*N(tblSteps[[#This Row],[計画工数（時間）]])</f>
        <v>38.4</v>
      </c>
      <c r="AI8" s="58">
        <f>IF(ISNUMBER(tblSteps[[#This Row],[完了見込日]]),1,0)</f>
        <v>1</v>
      </c>
      <c r="AJ8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46304.0</v>
      </c>
      <c r="AK8" s="58">
        <f>IF(AND(tblSteps[[#This Row],[集計対象]]=1,tblSteps[[#This Row],[完了]]=0,tblSteps[[#This Row],[日付OK]]=1),MAX(0,RefDate-INT(tblSteps[[#This Row],[計画終了日]])),0)</f>
        <v>0</v>
      </c>
      <c r="AL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2</v>
      </c>
      <c r="AM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8" s="58">
        <f>IF(AND(tblSteps[[#This Row],[集計対象]]=1,tblSteps[[#This Row],[完了]]=0,tblSteps[[#This Row],[時刻OK]]=1,tblSteps[[#This Row],[担当]]&lt;&gt;""),1,0)</f>
        <v>1</v>
      </c>
      <c r="AP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見込+2日</v>
      </c>
      <c r="AR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4</v>
      </c>
      <c r="AS8" s="58">
        <f>IF(tblSteps[[#This Row],[日付OK]]=1,INT(tblSteps[[#This Row],[計画開始日]]),1)</f>
        <v>46293</v>
      </c>
      <c r="AT8" s="58">
        <f>IF(tblSteps[[#This Row],[日付OK]]=1,INT(tblSteps[[#This Row],[計画終了日]]),0)</f>
        <v>46302</v>
      </c>
      <c r="AU8" s="58">
        <f>IF(ISNUMBER(tblSteps[[#This Row],[実績開始日]]),INT(tblSteps[[#This Row],[実績開始日]]),1)</f>
        <v>46293</v>
      </c>
      <c r="AV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46300</v>
      </c>
      <c r="AW8" s="58">
        <f>IF(AND(tblSteps[[#This Row],[集計対象]]=1,tblSteps[[#This Row],[完了]]=0,tblSteps[[#This Row],[日付OK]]=1),INT(tblSteps[[#This Row],[計画終了日]])+1,1)</f>
        <v>46303</v>
      </c>
      <c r="AX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46304</v>
      </c>
      <c r="AY8" s="58">
        <f>IF(ISNUMBER(tblSteps[[#This Row],[顧客納期]]),INT(tblSteps[[#This Row],[顧客納期]]),0)</f>
        <v>46311</v>
      </c>
      <c r="AZ8" s="58">
        <f>IF(tblSteps[[#This Row],[日付OK]]=0,"",MIN(tblSteps[[#This Row],[計開]],IF(ISNUMBER(tblSteps[[#This Row],[実績開始日]]),tblSteps[[#This Row],[実開]],tblSteps[[#This Row],[計開]])))</f>
        <v>46293</v>
      </c>
      <c r="BA8" s="58">
        <f>IF(tblSteps[[#This Row],[日付OK]]=0,"",MAX(tblSteps[[#This Row],[計終]],tblSteps[[#This Row],[実終]],tblSteps[[#This Row],[遅終]]))</f>
        <v>46304</v>
      </c>
      <c r="BB8" s="58">
        <f>IF(AND(tblSteps[[#This Row],[集計対象]]=1,tblSteps[[#This Row],[状態]]="進行中"),IF(tblSteps[[#This Row],[日付OK]]=1,INT(tblSteps[[#This Row],[計画開始日]]),99999)*100000+N(tblSteps[[#This Row],[ID番号]]),"")</f>
        <v>4629300003</v>
      </c>
      <c r="BC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34629300003</v>
      </c>
      <c r="BE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8" s="58">
        <f>IF(tblSteps[[#This Row],[日別対象]]=1,COUNTIFS(tblSteps[日別対象],1,tblSteps[並びキー],"&lt;"&amp;tblSteps[[#This Row],[並びキー]])+1,"")</f>
        <v>8</v>
      </c>
      <c r="BH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8" s="58">
        <f>IF(tblSteps[[#This Row],[週別対象]]=1,COUNTIFS(tblSteps[週別対象],1,tblSteps[並びキー],"&lt;"&amp;tblSteps[[#This Row],[並びキー]])+1,"")</f>
        <v>10</v>
      </c>
      <c r="BK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8" s="58">
        <f>IFERROR(MATCH(tblSteps[[#This Row],[担当]],lst_Staff,0),99)*1000000000000+N(tblSteps[[#This Row],[開始分]])*10000+MOD(N(tblSteps[[#This Row],[ID番号]]),10000)</f>
        <v>5666624600003</v>
      </c>
      <c r="BM8" s="58">
        <f>IF(tblSteps[[#This Row],[時間割対象]]=1,COUNTIFS(tblSteps[時間割対象],1,tblSteps[時間割キー],"&lt;"&amp;tblSteps[[#This Row],[時間割キー]])+1,"")</f>
        <v>8</v>
      </c>
      <c r="BN8" s="58">
        <f>IF(AND(tblSteps[[#This Row],[表示可能]]=1,tblSteps[[#This Row],[完了]]=0,tblSteps[[#This Row],[重要度]]&gt;0),1,0)</f>
        <v>1</v>
      </c>
      <c r="BO8" s="58">
        <f>tblSteps[[#This Row],[重要度]]*10000000000+IF(tblSteps[[#This Row],[日付OK]]=1,INT(tblSteps[[#This Row],[計画終了日]]),99999)*100000+N(tblSteps[[#This Row],[ID番号]])</f>
        <v>44630200003</v>
      </c>
      <c r="BP8" s="58">
        <f>IF(tblSteps[[#This Row],[ホーム注意対象]]=1,COUNTIFS(tblSteps[ホーム注意対象],1,tblSteps[ホーム注意キー],"&lt;"&amp;tblSteps[[#This Row],[ホーム注意キー]])+1,"")</f>
        <v>5</v>
      </c>
      <c r="BQ8" s="58">
        <f>IF(tblSteps[[#This Row],[完了遅延日数]]&gt;0,1,0)</f>
        <v>0</v>
      </c>
      <c r="BR8" s="58" t="str">
        <f>IF(tblSteps[[#This Row],[完了遅延対象]]=1,COUNTIFS(tblSteps[完了遅延対象],1,tblSteps[並びキー],"&lt;"&amp;tblSteps[[#This Row],[並びキー]])+1,"")</f>
        <v/>
      </c>
    </row>
    <row r="9">
      <c r="A9" s="48" t="inlineStr">
        <is>
          <t>S0004</t>
        </is>
      </c>
      <c r="B9" s="48" t="inlineStr">
        <is>
          <t>A0008</t>
        </is>
      </c>
      <c r="C9" s="52" t="str">
        <f>IF(tblSteps[[#This Row],[案件ID]]="","",IF(tblSteps[[#This Row],[案件行]]="","（未登録の案件ID）",INDEX(tblProjects[案件名],tblSteps[[#This Row],[案件行]])&amp;""))</f>
        <v>工作機械の搬入・据付</v>
      </c>
      <c r="D9" s="49" t="inlineStr">
        <is>
          <t>機械搬入</t>
        </is>
      </c>
      <c r="E9" s="50" t="inlineStr">
        <is>
          <t>田中</t>
        </is>
      </c>
      <c r="F9" s="50" t="inlineStr">
        <is>
          <t>未着手</t>
        </is>
      </c>
      <c r="G9" s="59" t="n">
        <v>0</v>
      </c>
      <c r="H9" s="51" t="n">
        <v>46303</v>
      </c>
      <c r="I9" s="51" t="n">
        <v>46304</v>
      </c>
      <c r="J9" s="51" t="n"/>
      <c r="K9" s="51" t="n"/>
      <c r="L9" s="51" t="n"/>
      <c r="M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予定重複の可能性（田中）</v>
      </c>
      <c r="N9" s="57">
        <f>IF(tblSteps[[#This Row],[案件行]]="","",IF(ISNUMBER(INDEX(tblProjects[顧客納期],tblSteps[[#This Row],[案件行]])),INDEX(tblProjects[顧客納期],tblSteps[[#This Row],[案件行]]),""))</f>
        <v>46311.0</v>
      </c>
      <c r="O9" s="60" t="n">
        <v>0.3333333333333333</v>
      </c>
      <c r="P9" s="60" t="n">
        <v>0.7083333333333334</v>
      </c>
      <c r="Q9" s="61" t="n">
        <v>16</v>
      </c>
      <c r="R9" s="48" t="inlineStr">
        <is>
          <t>S0003</t>
        </is>
      </c>
      <c r="S9" s="49" t="inlineStr">
        <is>
          <t>クレーン手配済み</t>
        </is>
      </c>
      <c r="T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9" s="58">
        <f>IFERROR(VALUE(MID(tblSteps[[#This Row],[工程ID]],2,20)),"")</f>
        <v>4</v>
      </c>
      <c r="V9" s="58">
        <f>IF(tblSteps[[#This Row],[案件ID]]="","",IFERROR(MATCH(tblSteps[[#This Row],[案件ID]],tblProjects[案件ID],0),""))</f>
        <v>1</v>
      </c>
      <c r="W9" s="58">
        <f>IF(AND(tblSteps[[#This Row],[工程ID]]&lt;&gt;"",tblSteps[[#This Row],[状態]]&lt;&gt;"取消"),1,0)</f>
        <v>1</v>
      </c>
      <c r="X9" s="58">
        <f>IF(AND(tblSteps[[#This Row],[工程ID]]&lt;&gt;"",tblSteps[[#This Row],[案件行]]&lt;&gt;"",tblSteps[[#This Row],[状態]]&lt;&gt;"取消"),1,0)</f>
        <v>1</v>
      </c>
      <c r="Y9" s="58">
        <f>IF(tblSteps[[#This Row],[状態]]="完了",1,0)</f>
        <v>0</v>
      </c>
      <c r="Z9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9" s="62">
        <f>IF(ISNUMBER(tblSteps[[#This Row],[開始時刻]]),MOD(tblSteps[[#This Row],[開始時刻]],1),DefStart)</f>
        <v>0.3333333333333333</v>
      </c>
      <c r="AB9" s="62">
        <f>IF(ISNUMBER(tblSteps[[#This Row],[終了時刻]]),MOD(tblSteps[[#This Row],[終了時刻]],1),DefEnd)</f>
        <v>0.7083333333333334</v>
      </c>
      <c r="AC9" s="58">
        <f>IF(tblSteps[[#This Row],[日付OK]]=1,ROUND((INT(tblSteps[[#This Row],[計画開始日]])+tblSteps[[#This Row],[開始時刻値]])*1440,0),"")</f>
        <v>66676800</v>
      </c>
      <c r="AD9" s="58">
        <f>IF(tblSteps[[#This Row],[日付OK]]=1,ROUND((INT(tblSteps[[#This Row],[計画終了日]])+tblSteps[[#This Row],[終了時刻値]])*1440,0),"")</f>
        <v>66678780</v>
      </c>
      <c r="AE9" s="58">
        <f>IF(tblSteps[[#This Row],[日付OK]]=0,0,IF(tblSteps[[#This Row],[終了分]]&gt;tblSteps[[#This Row],[開始分]],1,0))</f>
        <v>1</v>
      </c>
      <c r="AF9" s="58">
        <f>IF(ISNUMBER(tblSteps[[#This Row],[進捗率]]),MAX(0,MIN(1,tblSteps[[#This Row],[進捗率]])),0)</f>
        <v>0</v>
      </c>
      <c r="AG9" s="58">
        <f>IF(AND(ISNUMBER(tblSteps[[#This Row],[計画工数（時間）]]),N(tblSteps[[#This Row],[計画工数（時間）]])&gt;0),1,0)</f>
        <v>1</v>
      </c>
      <c r="AH9" s="58">
        <f>tblSteps[[#This Row],[進捗値]]*N(tblSteps[[#This Row],[計画工数（時間）]])</f>
        <v>0</v>
      </c>
      <c r="AI9" s="58">
        <f>IF(ISNUMBER(tblSteps[[#This Row],[完了見込日]]),1,0)</f>
        <v>0</v>
      </c>
      <c r="AJ9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46304.0</v>
      </c>
      <c r="AK9" s="58">
        <f>IF(AND(tblSteps[[#This Row],[集計対象]]=1,tblSteps[[#This Row],[完了]]=0,tblSteps[[#This Row],[日付OK]]=1),MAX(0,RefDate-INT(tblSteps[[#This Row],[計画終了日]])),0)</f>
        <v>0</v>
      </c>
      <c r="AL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9" s="58">
        <f>IF(AND(tblSteps[[#This Row],[集計対象]]=1,tblSteps[[#This Row],[完了]]=0,tblSteps[[#This Row],[時刻OK]]=1,tblSteps[[#This Row],[担当]]&lt;&gt;""),1,0)</f>
        <v>1</v>
      </c>
      <c r="AP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1</v>
      </c>
      <c r="AQ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重複の可能性</v>
      </c>
      <c r="AR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5</v>
      </c>
      <c r="AS9" s="58">
        <f>IF(tblSteps[[#This Row],[日付OK]]=1,INT(tblSteps[[#This Row],[計画開始日]]),1)</f>
        <v>46303</v>
      </c>
      <c r="AT9" s="58">
        <f>IF(tblSteps[[#This Row],[日付OK]]=1,INT(tblSteps[[#This Row],[計画終了日]]),0)</f>
        <v>46304</v>
      </c>
      <c r="AU9" s="58">
        <f>IF(ISNUMBER(tblSteps[[#This Row],[実績開始日]]),INT(tblSteps[[#This Row],[実績開始日]]),1)</f>
        <v>1</v>
      </c>
      <c r="AV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9" s="58">
        <f>IF(AND(tblSteps[[#This Row],[集計対象]]=1,tblSteps[[#This Row],[完了]]=0,tblSteps[[#This Row],[日付OK]]=1),INT(tblSteps[[#This Row],[計画終了日]])+1,1)</f>
        <v>46305</v>
      </c>
      <c r="AX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9" s="58">
        <f>IF(ISNUMBER(tblSteps[[#This Row],[顧客納期]]),INT(tblSteps[[#This Row],[顧客納期]]),0)</f>
        <v>46311</v>
      </c>
      <c r="AZ9" s="58">
        <f>IF(tblSteps[[#This Row],[日付OK]]=0,"",MIN(tblSteps[[#This Row],[計開]],IF(ISNUMBER(tblSteps[[#This Row],[実績開始日]]),tblSteps[[#This Row],[実開]],tblSteps[[#This Row],[計開]])))</f>
        <v>46303</v>
      </c>
      <c r="BA9" s="58">
        <f>IF(tblSteps[[#This Row],[日付OK]]=0,"",MAX(tblSteps[[#This Row],[計終]],tblSteps[[#This Row],[実終]],tblSteps[[#This Row],[遅終]]))</f>
        <v>46304</v>
      </c>
      <c r="BB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9" s="58">
        <f>IF(AND(tblSteps[[#This Row],[集計対象]]=1,tblSteps[[#This Row],[状態]]="未着手"),IF(tblSteps[[#This Row],[日付OK]]=1,INT(tblSteps[[#This Row],[計画開始日]]),99999)*100000+N(tblSteps[[#This Row],[ID番号]]),"")</f>
        <v>4630300004</v>
      </c>
      <c r="BD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34630300004</v>
      </c>
      <c r="BE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9" s="58">
        <f>IF(tblSteps[[#This Row],[日別対象]]=1,COUNTIFS(tblSteps[日別対象],1,tblSteps[並びキー],"&lt;"&amp;tblSteps[[#This Row],[並びキー]])+1,"")</f>
        <v>10</v>
      </c>
      <c r="BH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9" s="58">
        <f>IF(tblSteps[[#This Row],[週別対象]]=1,COUNTIFS(tblSteps[週別対象],1,tblSteps[並びキー],"&lt;"&amp;tblSteps[[#This Row],[並びキー]])+1,"")</f>
        <v>12</v>
      </c>
      <c r="BK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9" s="58">
        <f>IFERROR(MATCH(tblSteps[[#This Row],[担当]],lst_Staff,0),99)*1000000000000+N(tblSteps[[#This Row],[開始分]])*10000+MOD(N(tblSteps[[#This Row],[ID番号]]),10000)</f>
        <v>1666768000004</v>
      </c>
      <c r="BM9" s="58" t="str">
        <f>IF(tblSteps[[#This Row],[時間割対象]]=1,COUNTIFS(tblSteps[時間割対象],1,tblSteps[時間割キー],"&lt;"&amp;tblSteps[[#This Row],[時間割キー]])+1,"")</f>
        <v/>
      </c>
      <c r="BN9" s="58">
        <f>IF(AND(tblSteps[[#This Row],[表示可能]]=1,tblSteps[[#This Row],[完了]]=0,tblSteps[[#This Row],[重要度]]&gt;0),1,0)</f>
        <v>1</v>
      </c>
      <c r="BO9" s="58">
        <f>tblSteps[[#This Row],[重要度]]*10000000000+IF(tblSteps[[#This Row],[日付OK]]=1,INT(tblSteps[[#This Row],[計画終了日]]),99999)*100000+N(tblSteps[[#This Row],[ID番号]])</f>
        <v>54630400004</v>
      </c>
      <c r="BP9" s="58">
        <f>IF(tblSteps[[#This Row],[ホーム注意対象]]=1,COUNTIFS(tblSteps[ホーム注意対象],1,tblSteps[ホーム注意キー],"&lt;"&amp;tblSteps[[#This Row],[ホーム注意キー]])+1,"")</f>
        <v>10</v>
      </c>
      <c r="BQ9" s="58">
        <f>IF(tblSteps[[#This Row],[完了遅延日数]]&gt;0,1,0)</f>
        <v>0</v>
      </c>
      <c r="BR9" s="58" t="str">
        <f>IF(tblSteps[[#This Row],[完了遅延対象]]=1,COUNTIFS(tblSteps[完了遅延対象],1,tblSteps[並びキー],"&lt;"&amp;tblSteps[[#This Row],[並びキー]])+1,"")</f>
        <v/>
      </c>
    </row>
    <row r="10">
      <c r="A10" s="48" t="inlineStr">
        <is>
          <t>S0005</t>
        </is>
      </c>
      <c r="B10" s="48" t="inlineStr">
        <is>
          <t>A0008</t>
        </is>
      </c>
      <c r="C10" s="52" t="str">
        <f>IF(tblSteps[[#This Row],[案件ID]]="","",IF(tblSteps[[#This Row],[案件行]]="","（未登録の案件ID）",INDEX(tblProjects[案件名],tblSteps[[#This Row],[案件行]])&amp;""))</f>
        <v>工作機械の搬入・据付</v>
      </c>
      <c r="D10" s="49" t="inlineStr">
        <is>
          <t>据付・レベル出し</t>
        </is>
      </c>
      <c r="E10" s="50" t="inlineStr">
        <is>
          <t>伊藤</t>
        </is>
      </c>
      <c r="F10" s="50" t="inlineStr">
        <is>
          <t>未着手</t>
        </is>
      </c>
      <c r="G10" s="59" t="n">
        <v>0</v>
      </c>
      <c r="H10" s="51" t="n">
        <v>46307</v>
      </c>
      <c r="I10" s="51" t="n">
        <v>46309</v>
      </c>
      <c r="J10" s="51" t="n"/>
      <c r="K10" s="51" t="n"/>
      <c r="L10" s="51" t="n"/>
      <c r="M1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0" s="57">
        <f>IF(tblSteps[[#This Row],[案件行]]="","",IF(ISNUMBER(INDEX(tblProjects[顧客納期],tblSteps[[#This Row],[案件行]])),INDEX(tblProjects[顧客納期],tblSteps[[#This Row],[案件行]]),""))</f>
        <v>46311.0</v>
      </c>
      <c r="O10" s="60" t="n"/>
      <c r="P10" s="60" t="n"/>
      <c r="Q10" s="61" t="n">
        <v>24</v>
      </c>
      <c r="R10" s="48" t="inlineStr">
        <is>
          <t>S0004</t>
        </is>
      </c>
      <c r="S10" s="49" t="n"/>
      <c r="T1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0" s="58">
        <f>IFERROR(VALUE(MID(tblSteps[[#This Row],[工程ID]],2,20)),"")</f>
        <v>5</v>
      </c>
      <c r="V10" s="58">
        <f>IF(tblSteps[[#This Row],[案件ID]]="","",IFERROR(MATCH(tblSteps[[#This Row],[案件ID]],tblProjects[案件ID],0),""))</f>
        <v>1</v>
      </c>
      <c r="W10" s="58">
        <f>IF(AND(tblSteps[[#This Row],[工程ID]]&lt;&gt;"",tblSteps[[#This Row],[状態]]&lt;&gt;"取消"),1,0)</f>
        <v>1</v>
      </c>
      <c r="X10" s="58">
        <f>IF(AND(tblSteps[[#This Row],[工程ID]]&lt;&gt;"",tblSteps[[#This Row],[案件行]]&lt;&gt;"",tblSteps[[#This Row],[状態]]&lt;&gt;"取消"),1,0)</f>
        <v>1</v>
      </c>
      <c r="Y10" s="58">
        <f>IF(tblSteps[[#This Row],[状態]]="完了",1,0)</f>
        <v>0</v>
      </c>
      <c r="Z10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0" s="62">
        <f>IF(ISNUMBER(tblSteps[[#This Row],[開始時刻]]),MOD(tblSteps[[#This Row],[開始時刻]],1),DefStart)</f>
        <v>0.375</v>
      </c>
      <c r="AB10" s="62">
        <f>IF(ISNUMBER(tblSteps[[#This Row],[終了時刻]]),MOD(tblSteps[[#This Row],[終了時刻]],1),DefEnd)</f>
        <v>0.75</v>
      </c>
      <c r="AC10" s="58">
        <f>IF(tblSteps[[#This Row],[日付OK]]=1,ROUND((INT(tblSteps[[#This Row],[計画開始日]])+tblSteps[[#This Row],[開始時刻値]])*1440,0),"")</f>
        <v>66682620</v>
      </c>
      <c r="AD10" s="58">
        <f>IF(tblSteps[[#This Row],[日付OK]]=1,ROUND((INT(tblSteps[[#This Row],[計画終了日]])+tblSteps[[#This Row],[終了時刻値]])*1440,0),"")</f>
        <v>66686040</v>
      </c>
      <c r="AE10" s="58">
        <f>IF(tblSteps[[#This Row],[日付OK]]=0,0,IF(tblSteps[[#This Row],[終了分]]&gt;tblSteps[[#This Row],[開始分]],1,0))</f>
        <v>1</v>
      </c>
      <c r="AF10" s="58">
        <f>IF(ISNUMBER(tblSteps[[#This Row],[進捗率]]),MAX(0,MIN(1,tblSteps[[#This Row],[進捗率]])),0)</f>
        <v>0</v>
      </c>
      <c r="AG10" s="58">
        <f>IF(AND(ISNUMBER(tblSteps[[#This Row],[計画工数（時間）]]),N(tblSteps[[#This Row],[計画工数（時間）]])&gt;0),1,0)</f>
        <v>1</v>
      </c>
      <c r="AH10" s="58">
        <f>tblSteps[[#This Row],[進捗値]]*N(tblSteps[[#This Row],[計画工数（時間）]])</f>
        <v>0</v>
      </c>
      <c r="AI10" s="58">
        <f>IF(ISNUMBER(tblSteps[[#This Row],[完了見込日]]),1,0)</f>
        <v>0</v>
      </c>
      <c r="AJ10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46309.0</v>
      </c>
      <c r="AK10" s="58">
        <f>IF(AND(tblSteps[[#This Row],[集計対象]]=1,tblSteps[[#This Row],[完了]]=0,tblSteps[[#This Row],[日付OK]]=1),MAX(0,RefDate-INT(tblSteps[[#This Row],[計画終了日]])),0)</f>
        <v>0</v>
      </c>
      <c r="AL1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0" s="58">
        <f>IF(AND(tblSteps[[#This Row],[集計対象]]=1,tblSteps[[#This Row],[完了]]=0,tblSteps[[#This Row],[時刻OK]]=1,tblSteps[[#This Row],[担当]]&lt;&gt;""),1,0)</f>
        <v>1</v>
      </c>
      <c r="AP1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0" s="58">
        <f>IF(tblSteps[[#This Row],[日付OK]]=1,INT(tblSteps[[#This Row],[計画開始日]]),1)</f>
        <v>46307</v>
      </c>
      <c r="AT10" s="58">
        <f>IF(tblSteps[[#This Row],[日付OK]]=1,INT(tblSteps[[#This Row],[計画終了日]]),0)</f>
        <v>46309</v>
      </c>
      <c r="AU10" s="58">
        <f>IF(ISNUMBER(tblSteps[[#This Row],[実績開始日]]),INT(tblSteps[[#This Row],[実績開始日]]),1)</f>
        <v>1</v>
      </c>
      <c r="AV1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0" s="58">
        <f>IF(AND(tblSteps[[#This Row],[集計対象]]=1,tblSteps[[#This Row],[完了]]=0,tblSteps[[#This Row],[日付OK]]=1),INT(tblSteps[[#This Row],[計画終了日]])+1,1)</f>
        <v>46310</v>
      </c>
      <c r="AX1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0" s="58">
        <f>IF(ISNUMBER(tblSteps[[#This Row],[顧客納期]]),INT(tblSteps[[#This Row],[顧客納期]]),0)</f>
        <v>46311</v>
      </c>
      <c r="AZ10" s="58">
        <f>IF(tblSteps[[#This Row],[日付OK]]=0,"",MIN(tblSteps[[#This Row],[計開]],IF(ISNUMBER(tblSteps[[#This Row],[実績開始日]]),tblSteps[[#This Row],[実開]],tblSteps[[#This Row],[計開]])))</f>
        <v>46307</v>
      </c>
      <c r="BA10" s="58">
        <f>IF(tblSteps[[#This Row],[日付OK]]=0,"",MAX(tblSteps[[#This Row],[計終]],tblSteps[[#This Row],[実終]],tblSteps[[#This Row],[遅終]]))</f>
        <v>46309</v>
      </c>
      <c r="BB1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0" s="58">
        <f>IF(AND(tblSteps[[#This Row],[集計対象]]=1,tblSteps[[#This Row],[状態]]="未着手"),IF(tblSteps[[#This Row],[日付OK]]=1,INT(tblSteps[[#This Row],[計画開始日]]),99999)*100000+N(tblSteps[[#This Row],[ID番号]]),"")</f>
        <v>4630700005</v>
      </c>
      <c r="BD1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34630700005</v>
      </c>
      <c r="BE1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0" s="58">
        <f>IF(tblSteps[[#This Row],[日別対象]]=1,COUNTIFS(tblSteps[日別対象],1,tblSteps[並びキー],"&lt;"&amp;tblSteps[[#This Row],[並びキー]])+1,"")</f>
        <v>11</v>
      </c>
      <c r="BH1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0" s="58">
        <f>IF(tblSteps[[#This Row],[週別対象]]=1,COUNTIFS(tblSteps[週別対象],1,tblSteps[並びキー],"&lt;"&amp;tblSteps[[#This Row],[並びキー]])+1,"")</f>
        <v>13</v>
      </c>
      <c r="BK1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0" s="58">
        <f>IFERROR(MATCH(tblSteps[[#This Row],[担当]],lst_Staff,0),99)*1000000000000+N(tblSteps[[#This Row],[開始分]])*10000+MOD(N(tblSteps[[#This Row],[ID番号]]),10000)</f>
        <v>3666826200005</v>
      </c>
      <c r="BM10" s="58" t="str">
        <f>IF(tblSteps[[#This Row],[時間割対象]]=1,COUNTIFS(tblSteps[時間割対象],1,tblSteps[時間割キー],"&lt;"&amp;tblSteps[[#This Row],[時間割キー]])+1,"")</f>
        <v/>
      </c>
      <c r="BN10" s="58">
        <f>IF(AND(tblSteps[[#This Row],[表示可能]]=1,tblSteps[[#This Row],[完了]]=0,tblSteps[[#This Row],[重要度]]&gt;0),1,0)</f>
        <v>0</v>
      </c>
      <c r="BO10" s="58">
        <f>tblSteps[[#This Row],[重要度]]*10000000000+IF(tblSteps[[#This Row],[日付OK]]=1,INT(tblSteps[[#This Row],[計画終了日]]),99999)*100000+N(tblSteps[[#This Row],[ID番号]])</f>
        <v>4630900005</v>
      </c>
      <c r="BP10" s="58" t="str">
        <f>IF(tblSteps[[#This Row],[ホーム注意対象]]=1,COUNTIFS(tblSteps[ホーム注意対象],1,tblSteps[ホーム注意キー],"&lt;"&amp;tblSteps[[#This Row],[ホーム注意キー]])+1,"")</f>
        <v/>
      </c>
      <c r="BQ10" s="58">
        <f>IF(tblSteps[[#This Row],[完了遅延日数]]&gt;0,1,0)</f>
        <v>0</v>
      </c>
      <c r="BR10" s="58" t="str">
        <f>IF(tblSteps[[#This Row],[完了遅延対象]]=1,COUNTIFS(tblSteps[完了遅延対象],1,tblSteps[並びキー],"&lt;"&amp;tblSteps[[#This Row],[並びキー]])+1,"")</f>
        <v/>
      </c>
    </row>
    <row r="11">
      <c r="A11" s="48" t="inlineStr">
        <is>
          <t>S0006</t>
        </is>
      </c>
      <c r="B11" s="48" t="inlineStr">
        <is>
          <t>A0008</t>
        </is>
      </c>
      <c r="C11" s="52" t="str">
        <f>IF(tblSteps[[#This Row],[案件ID]]="","",IF(tblSteps[[#This Row],[案件行]]="","（未登録の案件ID）",INDEX(tblProjects[案件名],tblSteps[[#This Row],[案件行]])&amp;""))</f>
        <v>工作機械の搬入・据付</v>
      </c>
      <c r="D11" s="49" t="inlineStr">
        <is>
          <t>試運転・立会い</t>
        </is>
      </c>
      <c r="E11" s="50" t="inlineStr">
        <is>
          <t>田中</t>
        </is>
      </c>
      <c r="F11" s="50" t="inlineStr">
        <is>
          <t>未着手</t>
        </is>
      </c>
      <c r="G11" s="59" t="n">
        <v>0</v>
      </c>
      <c r="H11" s="51" t="n">
        <v>46310</v>
      </c>
      <c r="I11" s="51" t="n">
        <v>46311</v>
      </c>
      <c r="J11" s="51" t="n"/>
      <c r="K11" s="51" t="n"/>
      <c r="L11" s="51" t="n"/>
      <c r="M1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1" s="57">
        <f>IF(tblSteps[[#This Row],[案件行]]="","",IF(ISNUMBER(INDEX(tblProjects[顧客納期],tblSteps[[#This Row],[案件行]])),INDEX(tblProjects[顧客納期],tblSteps[[#This Row],[案件行]]),""))</f>
        <v>46311.0</v>
      </c>
      <c r="O11" s="60" t="n"/>
      <c r="P11" s="60" t="n"/>
      <c r="Q11" s="61" t="n">
        <v>12</v>
      </c>
      <c r="R11" s="48" t="inlineStr">
        <is>
          <t>S0005</t>
        </is>
      </c>
      <c r="S11" s="49" t="n"/>
      <c r="T1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1" s="58">
        <f>IFERROR(VALUE(MID(tblSteps[[#This Row],[工程ID]],2,20)),"")</f>
        <v>6</v>
      </c>
      <c r="V11" s="58">
        <f>IF(tblSteps[[#This Row],[案件ID]]="","",IFERROR(MATCH(tblSteps[[#This Row],[案件ID]],tblProjects[案件ID],0),""))</f>
        <v>1</v>
      </c>
      <c r="W11" s="58">
        <f>IF(AND(tblSteps[[#This Row],[工程ID]]&lt;&gt;"",tblSteps[[#This Row],[状態]]&lt;&gt;"取消"),1,0)</f>
        <v>1</v>
      </c>
      <c r="X11" s="58">
        <f>IF(AND(tblSteps[[#This Row],[工程ID]]&lt;&gt;"",tblSteps[[#This Row],[案件行]]&lt;&gt;"",tblSteps[[#This Row],[状態]]&lt;&gt;"取消"),1,0)</f>
        <v>1</v>
      </c>
      <c r="Y11" s="58">
        <f>IF(tblSteps[[#This Row],[状態]]="完了",1,0)</f>
        <v>0</v>
      </c>
      <c r="Z11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1" s="62">
        <f>IF(ISNUMBER(tblSteps[[#This Row],[開始時刻]]),MOD(tblSteps[[#This Row],[開始時刻]],1),DefStart)</f>
        <v>0.375</v>
      </c>
      <c r="AB11" s="62">
        <f>IF(ISNUMBER(tblSteps[[#This Row],[終了時刻]]),MOD(tblSteps[[#This Row],[終了時刻]],1),DefEnd)</f>
        <v>0.75</v>
      </c>
      <c r="AC11" s="58">
        <f>IF(tblSteps[[#This Row],[日付OK]]=1,ROUND((INT(tblSteps[[#This Row],[計画開始日]])+tblSteps[[#This Row],[開始時刻値]])*1440,0),"")</f>
        <v>66686940</v>
      </c>
      <c r="AD11" s="58">
        <f>IF(tblSteps[[#This Row],[日付OK]]=1,ROUND((INT(tblSteps[[#This Row],[計画終了日]])+tblSteps[[#This Row],[終了時刻値]])*1440,0),"")</f>
        <v>66688920</v>
      </c>
      <c r="AE11" s="58">
        <f>IF(tblSteps[[#This Row],[日付OK]]=0,0,IF(tblSteps[[#This Row],[終了分]]&gt;tblSteps[[#This Row],[開始分]],1,0))</f>
        <v>1</v>
      </c>
      <c r="AF11" s="58">
        <f>IF(ISNUMBER(tblSteps[[#This Row],[進捗率]]),MAX(0,MIN(1,tblSteps[[#This Row],[進捗率]])),0)</f>
        <v>0</v>
      </c>
      <c r="AG11" s="58">
        <f>IF(AND(ISNUMBER(tblSteps[[#This Row],[計画工数（時間）]]),N(tblSteps[[#This Row],[計画工数（時間）]])&gt;0),1,0)</f>
        <v>1</v>
      </c>
      <c r="AH11" s="58">
        <f>tblSteps[[#This Row],[進捗値]]*N(tblSteps[[#This Row],[計画工数（時間）]])</f>
        <v>0</v>
      </c>
      <c r="AI11" s="58">
        <f>IF(ISNUMBER(tblSteps[[#This Row],[完了見込日]]),1,0)</f>
        <v>0</v>
      </c>
      <c r="AJ11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46311.0</v>
      </c>
      <c r="AK11" s="58">
        <f>IF(AND(tblSteps[[#This Row],[集計対象]]=1,tblSteps[[#This Row],[完了]]=0,tblSteps[[#This Row],[日付OK]]=1),MAX(0,RefDate-INT(tblSteps[[#This Row],[計画終了日]])),0)</f>
        <v>0</v>
      </c>
      <c r="AL1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1" s="58">
        <f>IF(AND(tblSteps[[#This Row],[集計対象]]=1,tblSteps[[#This Row],[完了]]=0,tblSteps[[#This Row],[時刻OK]]=1,tblSteps[[#This Row],[担当]]&lt;&gt;""),1,0)</f>
        <v>1</v>
      </c>
      <c r="AP1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1" s="58">
        <f>IF(tblSteps[[#This Row],[日付OK]]=1,INT(tblSteps[[#This Row],[計画開始日]]),1)</f>
        <v>46310</v>
      </c>
      <c r="AT11" s="58">
        <f>IF(tblSteps[[#This Row],[日付OK]]=1,INT(tblSteps[[#This Row],[計画終了日]]),0)</f>
        <v>46311</v>
      </c>
      <c r="AU11" s="58">
        <f>IF(ISNUMBER(tblSteps[[#This Row],[実績開始日]]),INT(tblSteps[[#This Row],[実績開始日]]),1)</f>
        <v>1</v>
      </c>
      <c r="AV1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1" s="58">
        <f>IF(AND(tblSteps[[#This Row],[集計対象]]=1,tblSteps[[#This Row],[完了]]=0,tblSteps[[#This Row],[日付OK]]=1),INT(tblSteps[[#This Row],[計画終了日]])+1,1)</f>
        <v>46312</v>
      </c>
      <c r="AX1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1" s="58">
        <f>IF(ISNUMBER(tblSteps[[#This Row],[顧客納期]]),INT(tblSteps[[#This Row],[顧客納期]]),0)</f>
        <v>46311</v>
      </c>
      <c r="AZ11" s="58">
        <f>IF(tblSteps[[#This Row],[日付OK]]=0,"",MIN(tblSteps[[#This Row],[計開]],IF(ISNUMBER(tblSteps[[#This Row],[実績開始日]]),tblSteps[[#This Row],[実開]],tblSteps[[#This Row],[計開]])))</f>
        <v>46310</v>
      </c>
      <c r="BA11" s="58">
        <f>IF(tblSteps[[#This Row],[日付OK]]=0,"",MAX(tblSteps[[#This Row],[計終]],tblSteps[[#This Row],[実終]],tblSteps[[#This Row],[遅終]]))</f>
        <v>46311</v>
      </c>
      <c r="BB1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1" s="58">
        <f>IF(AND(tblSteps[[#This Row],[集計対象]]=1,tblSteps[[#This Row],[状態]]="未着手"),IF(tblSteps[[#This Row],[日付OK]]=1,INT(tblSteps[[#This Row],[計画開始日]]),99999)*100000+N(tblSteps[[#This Row],[ID番号]]),"")</f>
        <v>4631000006</v>
      </c>
      <c r="BD1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34631000006</v>
      </c>
      <c r="BE1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1" s="58">
        <f>IF(tblSteps[[#This Row],[日別対象]]=1,COUNTIFS(tblSteps[日別対象],1,tblSteps[並びキー],"&lt;"&amp;tblSteps[[#This Row],[並びキー]])+1,"")</f>
        <v>12</v>
      </c>
      <c r="BH1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1" s="58">
        <f>IF(tblSteps[[#This Row],[週別対象]]=1,COUNTIFS(tblSteps[週別対象],1,tblSteps[並びキー],"&lt;"&amp;tblSteps[[#This Row],[並びキー]])+1,"")</f>
        <v>14</v>
      </c>
      <c r="BK1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1" s="58">
        <f>IFERROR(MATCH(tblSteps[[#This Row],[担当]],lst_Staff,0),99)*1000000000000+N(tblSteps[[#This Row],[開始分]])*10000+MOD(N(tblSteps[[#This Row],[ID番号]]),10000)</f>
        <v>1666869400006</v>
      </c>
      <c r="BM11" s="58" t="str">
        <f>IF(tblSteps[[#This Row],[時間割対象]]=1,COUNTIFS(tblSteps[時間割対象],1,tblSteps[時間割キー],"&lt;"&amp;tblSteps[[#This Row],[時間割キー]])+1,"")</f>
        <v/>
      </c>
      <c r="BN11" s="58">
        <f>IF(AND(tblSteps[[#This Row],[表示可能]]=1,tblSteps[[#This Row],[完了]]=0,tblSteps[[#This Row],[重要度]]&gt;0),1,0)</f>
        <v>0</v>
      </c>
      <c r="BO11" s="58">
        <f>tblSteps[[#This Row],[重要度]]*10000000000+IF(tblSteps[[#This Row],[日付OK]]=1,INT(tblSteps[[#This Row],[計画終了日]]),99999)*100000+N(tblSteps[[#This Row],[ID番号]])</f>
        <v>4631100006</v>
      </c>
      <c r="BP11" s="58" t="str">
        <f>IF(tblSteps[[#This Row],[ホーム注意対象]]=1,COUNTIFS(tblSteps[ホーム注意対象],1,tblSteps[ホーム注意キー],"&lt;"&amp;tblSteps[[#This Row],[ホーム注意キー]])+1,"")</f>
        <v/>
      </c>
      <c r="BQ11" s="58">
        <f>IF(tblSteps[[#This Row],[完了遅延日数]]&gt;0,1,0)</f>
        <v>0</v>
      </c>
      <c r="BR11" s="58" t="str">
        <f>IF(tblSteps[[#This Row],[完了遅延対象]]=1,COUNTIFS(tblSteps[完了遅延対象],1,tblSteps[並びキー],"&lt;"&amp;tblSteps[[#This Row],[並びキー]])+1,"")</f>
        <v/>
      </c>
    </row>
    <row r="12">
      <c r="A12" s="48" t="inlineStr">
        <is>
          <t>S0007</t>
        </is>
      </c>
      <c r="B12" s="48" t="inlineStr">
        <is>
          <t>A0020</t>
        </is>
      </c>
      <c r="C12" s="52" t="str">
        <f>IF(tblSteps[[#This Row],[案件ID]]="","",IF(tblSteps[[#This Row],[案件行]]="","（未登録の案件ID）",INDEX(tblProjects[案件名],tblSteps[[#This Row],[案件行]])&amp;""))</f>
        <v>スポット修理（搬送装置）</v>
      </c>
      <c r="D12" s="49" t="inlineStr">
        <is>
          <t>部品手配</t>
        </is>
      </c>
      <c r="E12" s="50" t="inlineStr">
        <is>
          <t>渡辺</t>
        </is>
      </c>
      <c r="F12" s="50" t="inlineStr">
        <is>
          <t>完了</t>
        </is>
      </c>
      <c r="G12" s="59" t="n">
        <v>1</v>
      </c>
      <c r="H12" s="51" t="n">
        <v>46295</v>
      </c>
      <c r="I12" s="51" t="n">
        <v>46297</v>
      </c>
      <c r="J12" s="51" t="n"/>
      <c r="K12" s="51" t="n">
        <v>46295</v>
      </c>
      <c r="L12" s="51" t="n">
        <v>46297</v>
      </c>
      <c r="M1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2" s="57">
        <f>IF(tblSteps[[#This Row],[案件行]]="","",IF(ISNUMBER(INDEX(tblProjects[顧客納期],tblSteps[[#This Row],[案件行]])),INDEX(tblProjects[顧客納期],tblSteps[[#This Row],[案件行]]),""))</f>
        <v>46304.0</v>
      </c>
      <c r="O12" s="60" t="n"/>
      <c r="P12" s="60" t="n"/>
      <c r="Q12" s="61" t="n">
        <v>4</v>
      </c>
      <c r="R12" s="48" t="n"/>
      <c r="S12" s="49" t="n"/>
      <c r="T1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2" s="58">
        <f>IFERROR(VALUE(MID(tblSteps[[#This Row],[工程ID]],2,20)),"")</f>
        <v>7</v>
      </c>
      <c r="V12" s="58">
        <f>IF(tblSteps[[#This Row],[案件ID]]="","",IFERROR(MATCH(tblSteps[[#This Row],[案件ID]],tblProjects[案件ID],0),""))</f>
        <v>2</v>
      </c>
      <c r="W12" s="58">
        <f>IF(AND(tblSteps[[#This Row],[工程ID]]&lt;&gt;"",tblSteps[[#This Row],[状態]]&lt;&gt;"取消"),1,0)</f>
        <v>1</v>
      </c>
      <c r="X12" s="58">
        <f>IF(AND(tblSteps[[#This Row],[工程ID]]&lt;&gt;"",tblSteps[[#This Row],[案件行]]&lt;&gt;"",tblSteps[[#This Row],[状態]]&lt;&gt;"取消"),1,0)</f>
        <v>1</v>
      </c>
      <c r="Y12" s="58">
        <f>IF(tblSteps[[#This Row],[状態]]="完了",1,0)</f>
        <v>1</v>
      </c>
      <c r="Z12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2" s="62">
        <f>IF(ISNUMBER(tblSteps[[#This Row],[開始時刻]]),MOD(tblSteps[[#This Row],[開始時刻]],1),DefStart)</f>
        <v>0.375</v>
      </c>
      <c r="AB12" s="62">
        <f>IF(ISNUMBER(tblSteps[[#This Row],[終了時刻]]),MOD(tblSteps[[#This Row],[終了時刻]],1),DefEnd)</f>
        <v>0.75</v>
      </c>
      <c r="AC12" s="58">
        <f>IF(tblSteps[[#This Row],[日付OK]]=1,ROUND((INT(tblSteps[[#This Row],[計画開始日]])+tblSteps[[#This Row],[開始時刻値]])*1440,0),"")</f>
        <v>66665340</v>
      </c>
      <c r="AD12" s="58">
        <f>IF(tblSteps[[#This Row],[日付OK]]=1,ROUND((INT(tblSteps[[#This Row],[計画終了日]])+tblSteps[[#This Row],[終了時刻値]])*1440,0),"")</f>
        <v>66668760</v>
      </c>
      <c r="AE12" s="58">
        <f>IF(tblSteps[[#This Row],[日付OK]]=0,0,IF(tblSteps[[#This Row],[終了分]]&gt;tblSteps[[#This Row],[開始分]],1,0))</f>
        <v>1</v>
      </c>
      <c r="AF12" s="58">
        <f>IF(ISNUMBER(tblSteps[[#This Row],[進捗率]]),MAX(0,MIN(1,tblSteps[[#This Row],[進捗率]])),0)</f>
        <v>1</v>
      </c>
      <c r="AG12" s="58">
        <f>IF(AND(ISNUMBER(tblSteps[[#This Row],[計画工数（時間）]]),N(tblSteps[[#This Row],[計画工数（時間）]])&gt;0),1,0)</f>
        <v>1</v>
      </c>
      <c r="AH12" s="58">
        <f>tblSteps[[#This Row],[進捗値]]*N(tblSteps[[#This Row],[計画工数（時間）]])</f>
        <v>4</v>
      </c>
      <c r="AI12" s="58">
        <f>IF(ISNUMBER(tblSteps[[#This Row],[完了見込日]]),1,0)</f>
        <v>0</v>
      </c>
      <c r="AJ12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46297.0</v>
      </c>
      <c r="AK12" s="58">
        <f>IF(AND(tblSteps[[#This Row],[集計対象]]=1,tblSteps[[#This Row],[完了]]=0,tblSteps[[#This Row],[日付OK]]=1),MAX(0,RefDate-INT(tblSteps[[#This Row],[計画終了日]])),0)</f>
        <v>0</v>
      </c>
      <c r="AL1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2" s="58">
        <f>IF(AND(tblSteps[[#This Row],[集計対象]]=1,tblSteps[[#This Row],[完了]]=0,tblSteps[[#This Row],[時刻OK]]=1,tblSteps[[#This Row],[担当]]&lt;&gt;""),1,0)</f>
        <v>0</v>
      </c>
      <c r="AP1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完了</v>
      </c>
      <c r="AR1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2" s="58">
        <f>IF(tblSteps[[#This Row],[日付OK]]=1,INT(tblSteps[[#This Row],[計画開始日]]),1)</f>
        <v>46295</v>
      </c>
      <c r="AT12" s="58">
        <f>IF(tblSteps[[#This Row],[日付OK]]=1,INT(tblSteps[[#This Row],[計画終了日]]),0)</f>
        <v>46297</v>
      </c>
      <c r="AU12" s="58">
        <f>IF(ISNUMBER(tblSteps[[#This Row],[実績開始日]]),INT(tblSteps[[#This Row],[実績開始日]]),1)</f>
        <v>46295</v>
      </c>
      <c r="AV1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46297</v>
      </c>
      <c r="AW12" s="58">
        <f>IF(AND(tblSteps[[#This Row],[集計対象]]=1,tblSteps[[#This Row],[完了]]=0,tblSteps[[#This Row],[日付OK]]=1),INT(tblSteps[[#This Row],[計画終了日]])+1,1)</f>
        <v>1</v>
      </c>
      <c r="AX1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2" s="58">
        <f>IF(ISNUMBER(tblSteps[[#This Row],[顧客納期]]),INT(tblSteps[[#This Row],[顧客納期]]),0)</f>
        <v>46304</v>
      </c>
      <c r="AZ12" s="58">
        <f>IF(tblSteps[[#This Row],[日付OK]]=0,"",MIN(tblSteps[[#This Row],[計開]],IF(ISNUMBER(tblSteps[[#This Row],[実績開始日]]),tblSteps[[#This Row],[実開]],tblSteps[[#This Row],[計開]])))</f>
        <v>46295</v>
      </c>
      <c r="BA12" s="58">
        <f>IF(tblSteps[[#This Row],[日付OK]]=0,"",MAX(tblSteps[[#This Row],[計終]],tblSteps[[#This Row],[実終]],tblSteps[[#This Row],[遅終]]))</f>
        <v>46297</v>
      </c>
      <c r="BB1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24629500007</v>
      </c>
      <c r="BE1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2" s="58">
        <f>IF(tblSteps[[#This Row],[日別対象]]=1,COUNTIFS(tblSteps[日別対象],1,tblSteps[並びキー],"&lt;"&amp;tblSteps[[#This Row],[並びキー]])+1,"")</f>
        <v>4</v>
      </c>
      <c r="BH1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2" s="58">
        <f>IF(tblSteps[[#This Row],[週別対象]]=1,COUNTIFS(tblSteps[週別対象],1,tblSteps[並びキー],"&lt;"&amp;tblSteps[[#This Row],[並びキー]])+1,"")</f>
        <v>5</v>
      </c>
      <c r="BK1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2" s="58">
        <f>IFERROR(MATCH(tblSteps[[#This Row],[担当]],lst_Staff,0),99)*1000000000000+N(tblSteps[[#This Row],[開始分]])*10000+MOD(N(tblSteps[[#This Row],[ID番号]]),10000)</f>
        <v>4666653400007</v>
      </c>
      <c r="BM12" s="58" t="str">
        <f>IF(tblSteps[[#This Row],[時間割対象]]=1,COUNTIFS(tblSteps[時間割対象],1,tblSteps[時間割キー],"&lt;"&amp;tblSteps[[#This Row],[時間割キー]])+1,"")</f>
        <v/>
      </c>
      <c r="BN12" s="58">
        <f>IF(AND(tblSteps[[#This Row],[表示可能]]=1,tblSteps[[#This Row],[完了]]=0,tblSteps[[#This Row],[重要度]]&gt;0),1,0)</f>
        <v>0</v>
      </c>
      <c r="BO12" s="58">
        <f>tblSteps[[#This Row],[重要度]]*10000000000+IF(tblSteps[[#This Row],[日付OK]]=1,INT(tblSteps[[#This Row],[計画終了日]]),99999)*100000+N(tblSteps[[#This Row],[ID番号]])</f>
        <v>4629700007</v>
      </c>
      <c r="BP12" s="58" t="str">
        <f>IF(tblSteps[[#This Row],[ホーム注意対象]]=1,COUNTIFS(tblSteps[ホーム注意対象],1,tblSteps[ホーム注意キー],"&lt;"&amp;tblSteps[[#This Row],[ホーム注意キー]])+1,"")</f>
        <v/>
      </c>
      <c r="BQ12" s="58">
        <f>IF(tblSteps[[#This Row],[完了遅延日数]]&gt;0,1,0)</f>
        <v>0</v>
      </c>
      <c r="BR12" s="58" t="str">
        <f>IF(tblSteps[[#This Row],[完了遅延対象]]=1,COUNTIFS(tblSteps[完了遅延対象],1,tblSteps[並びキー],"&lt;"&amp;tblSteps[[#This Row],[並びキー]])+1,"")</f>
        <v/>
      </c>
    </row>
    <row r="13">
      <c r="A13" s="48" t="inlineStr">
        <is>
          <t>S0008</t>
        </is>
      </c>
      <c r="B13" s="48" t="inlineStr">
        <is>
          <t>A0020</t>
        </is>
      </c>
      <c r="C13" s="52" t="str">
        <f>IF(tblSteps[[#This Row],[案件ID]]="","",IF(tblSteps[[#This Row],[案件行]]="","（未登録の案件ID）",INDEX(tblProjects[案件名],tblSteps[[#This Row],[案件行]])&amp;""))</f>
        <v>スポット修理（搬送装置）</v>
      </c>
      <c r="D13" s="49" t="inlineStr">
        <is>
          <t>修理作業</t>
        </is>
      </c>
      <c r="E13" s="50" t="inlineStr">
        <is>
          <t>伊藤</t>
        </is>
      </c>
      <c r="F13" s="50" t="inlineStr">
        <is>
          <t>進行中</t>
        </is>
      </c>
      <c r="G13" s="59" t="n">
        <v>0.3</v>
      </c>
      <c r="H13" s="51" t="n">
        <v>46300</v>
      </c>
      <c r="I13" s="51" t="n">
        <v>46300</v>
      </c>
      <c r="J13" s="51" t="n"/>
      <c r="K13" s="51" t="n">
        <v>46300</v>
      </c>
      <c r="L13" s="51" t="n"/>
      <c r="M1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予定重複の可能性（伊藤）</v>
      </c>
      <c r="N13" s="57">
        <f>IF(tblSteps[[#This Row],[案件行]]="","",IF(ISNUMBER(INDEX(tblProjects[顧客納期],tblSteps[[#This Row],[案件行]])),INDEX(tblProjects[顧客納期],tblSteps[[#This Row],[案件行]]),""))</f>
        <v>46304.0</v>
      </c>
      <c r="O13" s="60" t="n">
        <v>0.375</v>
      </c>
      <c r="P13" s="60" t="n">
        <v>0.5</v>
      </c>
      <c r="Q13" s="61" t="n">
        <v>3</v>
      </c>
      <c r="R13" s="48" t="inlineStr">
        <is>
          <t>S0007</t>
        </is>
      </c>
      <c r="S13" s="49" t="n"/>
      <c r="T1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3" s="58">
        <f>IFERROR(VALUE(MID(tblSteps[[#This Row],[工程ID]],2,20)),"")</f>
        <v>8</v>
      </c>
      <c r="V13" s="58">
        <f>IF(tblSteps[[#This Row],[案件ID]]="","",IFERROR(MATCH(tblSteps[[#This Row],[案件ID]],tblProjects[案件ID],0),""))</f>
        <v>2</v>
      </c>
      <c r="W13" s="58">
        <f>IF(AND(tblSteps[[#This Row],[工程ID]]&lt;&gt;"",tblSteps[[#This Row],[状態]]&lt;&gt;"取消"),1,0)</f>
        <v>1</v>
      </c>
      <c r="X13" s="58">
        <f>IF(AND(tblSteps[[#This Row],[工程ID]]&lt;&gt;"",tblSteps[[#This Row],[案件行]]&lt;&gt;"",tblSteps[[#This Row],[状態]]&lt;&gt;"取消"),1,0)</f>
        <v>1</v>
      </c>
      <c r="Y13" s="58">
        <f>IF(tblSteps[[#This Row],[状態]]="完了",1,0)</f>
        <v>0</v>
      </c>
      <c r="Z13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3" s="62">
        <f>IF(ISNUMBER(tblSteps[[#This Row],[開始時刻]]),MOD(tblSteps[[#This Row],[開始時刻]],1),DefStart)</f>
        <v>0.375</v>
      </c>
      <c r="AB13" s="62">
        <f>IF(ISNUMBER(tblSteps[[#This Row],[終了時刻]]),MOD(tblSteps[[#This Row],[終了時刻]],1),DefEnd)</f>
        <v>0.5</v>
      </c>
      <c r="AC13" s="58">
        <f>IF(tblSteps[[#This Row],[日付OK]]=1,ROUND((INT(tblSteps[[#This Row],[計画開始日]])+tblSteps[[#This Row],[開始時刻値]])*1440,0),"")</f>
        <v>66672540</v>
      </c>
      <c r="AD13" s="58">
        <f>IF(tblSteps[[#This Row],[日付OK]]=1,ROUND((INT(tblSteps[[#This Row],[計画終了日]])+tblSteps[[#This Row],[終了時刻値]])*1440,0),"")</f>
        <v>66672720</v>
      </c>
      <c r="AE13" s="58">
        <f>IF(tblSteps[[#This Row],[日付OK]]=0,0,IF(tblSteps[[#This Row],[終了分]]&gt;tblSteps[[#This Row],[開始分]],1,0))</f>
        <v>1</v>
      </c>
      <c r="AF13" s="58">
        <f>IF(ISNUMBER(tblSteps[[#This Row],[進捗率]]),MAX(0,MIN(1,tblSteps[[#This Row],[進捗率]])),0)</f>
        <v>0.3</v>
      </c>
      <c r="AG13" s="58">
        <f>IF(AND(ISNUMBER(tblSteps[[#This Row],[計画工数（時間）]]),N(tblSteps[[#This Row],[計画工数（時間）]])&gt;0),1,0)</f>
        <v>1</v>
      </c>
      <c r="AH13" s="58">
        <f>tblSteps[[#This Row],[進捗値]]*N(tblSteps[[#This Row],[計画工数（時間）]])</f>
        <v>0.9</v>
      </c>
      <c r="AI13" s="58">
        <f>IF(ISNUMBER(tblSteps[[#This Row],[完了見込日]]),1,0)</f>
        <v>0</v>
      </c>
      <c r="AJ13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46300.0</v>
      </c>
      <c r="AK13" s="58">
        <f>IF(AND(tblSteps[[#This Row],[集計対象]]=1,tblSteps[[#This Row],[完了]]=0,tblSteps[[#This Row],[日付OK]]=1),MAX(0,RefDate-INT(tblSteps[[#This Row],[計画終了日]])),0)</f>
        <v>0</v>
      </c>
      <c r="AL1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3" s="58">
        <f>IF(AND(tblSteps[[#This Row],[集計対象]]=1,tblSteps[[#This Row],[完了]]=0,tblSteps[[#This Row],[時刻OK]]=1,tblSteps[[#This Row],[担当]]&lt;&gt;""),1,0)</f>
        <v>1</v>
      </c>
      <c r="AP1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1</v>
      </c>
      <c r="AQ1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重複の可能性</v>
      </c>
      <c r="AR1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5</v>
      </c>
      <c r="AS13" s="58">
        <f>IF(tblSteps[[#This Row],[日付OK]]=1,INT(tblSteps[[#This Row],[計画開始日]]),1)</f>
        <v>46300</v>
      </c>
      <c r="AT13" s="58">
        <f>IF(tblSteps[[#This Row],[日付OK]]=1,INT(tblSteps[[#This Row],[計画終了日]]),0)</f>
        <v>46300</v>
      </c>
      <c r="AU13" s="58">
        <f>IF(ISNUMBER(tblSteps[[#This Row],[実績開始日]]),INT(tblSteps[[#This Row],[実績開始日]]),1)</f>
        <v>46300</v>
      </c>
      <c r="AV1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46300</v>
      </c>
      <c r="AW13" s="58">
        <f>IF(AND(tblSteps[[#This Row],[集計対象]]=1,tblSteps[[#This Row],[完了]]=0,tblSteps[[#This Row],[日付OK]]=1),INT(tblSteps[[#This Row],[計画終了日]])+1,1)</f>
        <v>46301</v>
      </c>
      <c r="AX1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3" s="58">
        <f>IF(ISNUMBER(tblSteps[[#This Row],[顧客納期]]),INT(tblSteps[[#This Row],[顧客納期]]),0)</f>
        <v>46304</v>
      </c>
      <c r="AZ13" s="58">
        <f>IF(tblSteps[[#This Row],[日付OK]]=0,"",MIN(tblSteps[[#This Row],[計開]],IF(ISNUMBER(tblSteps[[#This Row],[実績開始日]]),tblSteps[[#This Row],[実開]],tblSteps[[#This Row],[計開]])))</f>
        <v>46300</v>
      </c>
      <c r="BA13" s="58">
        <f>IF(tblSteps[[#This Row],[日付OK]]=0,"",MAX(tblSteps[[#This Row],[計終]],tblSteps[[#This Row],[実終]],tblSteps[[#This Row],[遅終]]))</f>
        <v>46300</v>
      </c>
      <c r="BB13" s="58">
        <f>IF(AND(tblSteps[[#This Row],[集計対象]]=1,tblSteps[[#This Row],[状態]]="進行中"),IF(tblSteps[[#This Row],[日付OK]]=1,INT(tblSteps[[#This Row],[計画開始日]]),99999)*100000+N(tblSteps[[#This Row],[ID番号]]),"")</f>
        <v>4630000008</v>
      </c>
      <c r="BC1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24630000008</v>
      </c>
      <c r="BE1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3" s="58">
        <f>IF(tblSteps[[#This Row],[日別対象]]=1,COUNTIFS(tblSteps[日別対象],1,tblSteps[並びキー],"&lt;"&amp;tblSteps[[#This Row],[並びキー]])+1,"")</f>
        <v>5</v>
      </c>
      <c r="BH1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3" s="58">
        <f>IF(tblSteps[[#This Row],[週別対象]]=1,COUNTIFS(tblSteps[週別対象],1,tblSteps[並びキー],"&lt;"&amp;tblSteps[[#This Row],[並びキー]])+1,"")</f>
        <v>6</v>
      </c>
      <c r="BK1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13" s="58">
        <f>IFERROR(MATCH(tblSteps[[#This Row],[担当]],lst_Staff,0),99)*1000000000000+N(tblSteps[[#This Row],[開始分]])*10000+MOD(N(tblSteps[[#This Row],[ID番号]]),10000)</f>
        <v>3666725400008</v>
      </c>
      <c r="BM13" s="58">
        <f>IF(tblSteps[[#This Row],[時間割対象]]=1,COUNTIFS(tblSteps[時間割対象],1,tblSteps[時間割キー],"&lt;"&amp;tblSteps[[#This Row],[時間割キー]])+1,"")</f>
        <v>6</v>
      </c>
      <c r="BN13" s="58">
        <f>IF(AND(tblSteps[[#This Row],[表示可能]]=1,tblSteps[[#This Row],[完了]]=0,tblSteps[[#This Row],[重要度]]&gt;0),1,0)</f>
        <v>1</v>
      </c>
      <c r="BO13" s="58">
        <f>tblSteps[[#This Row],[重要度]]*10000000000+IF(tblSteps[[#This Row],[日付OK]]=1,INT(tblSteps[[#This Row],[計画終了日]]),99999)*100000+N(tblSteps[[#This Row],[ID番号]])</f>
        <v>54630000008</v>
      </c>
      <c r="BP13" s="58">
        <f>IF(tblSteps[[#This Row],[ホーム注意対象]]=1,COUNTIFS(tblSteps[ホーム注意対象],1,tblSteps[ホーム注意キー],"&lt;"&amp;tblSteps[[#This Row],[ホーム注意キー]])+1,"")</f>
        <v>7</v>
      </c>
      <c r="BQ13" s="58">
        <f>IF(tblSteps[[#This Row],[完了遅延日数]]&gt;0,1,0)</f>
        <v>0</v>
      </c>
      <c r="BR13" s="58" t="str">
        <f>IF(tblSteps[[#This Row],[完了遅延対象]]=1,COUNTIFS(tblSteps[完了遅延対象],1,tblSteps[並びキー],"&lt;"&amp;tblSteps[[#This Row],[並びキー]])+1,"")</f>
        <v/>
      </c>
    </row>
    <row r="14">
      <c r="A14" s="48" t="inlineStr">
        <is>
          <t>S0009</t>
        </is>
      </c>
      <c r="B14" s="48" t="inlineStr">
        <is>
          <t>A0020</t>
        </is>
      </c>
      <c r="C14" s="52" t="str">
        <f>IF(tblSteps[[#This Row],[案件ID]]="","",IF(tblSteps[[#This Row],[案件行]]="","（未登録の案件ID）",INDEX(tblProjects[案件名],tblSteps[[#This Row],[案件行]])&amp;""))</f>
        <v>スポット修理（搬送装置）</v>
      </c>
      <c r="D14" s="49" t="inlineStr">
        <is>
          <t>動作確認・報告書</t>
        </is>
      </c>
      <c r="E14" s="50" t="inlineStr">
        <is>
          <t>伊藤</t>
        </is>
      </c>
      <c r="F14" s="50" t="inlineStr">
        <is>
          <t>未着手</t>
        </is>
      </c>
      <c r="G14" s="59" t="n">
        <v>0</v>
      </c>
      <c r="H14" s="51" t="n">
        <v>46301</v>
      </c>
      <c r="I14" s="51" t="n">
        <v>46303</v>
      </c>
      <c r="J14" s="51" t="n"/>
      <c r="K14" s="51" t="n"/>
      <c r="L14" s="51" t="n"/>
      <c r="M1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4" s="57">
        <f>IF(tblSteps[[#This Row],[案件行]]="","",IF(ISNUMBER(INDEX(tblProjects[顧客納期],tblSteps[[#This Row],[案件行]])),INDEX(tblProjects[顧客納期],tblSteps[[#This Row],[案件行]]),""))</f>
        <v>46304.0</v>
      </c>
      <c r="O14" s="60" t="n"/>
      <c r="P14" s="60" t="n"/>
      <c r="Q14" s="61" t="n">
        <v>6</v>
      </c>
      <c r="R14" s="48" t="inlineStr">
        <is>
          <t>S0008</t>
        </is>
      </c>
      <c r="S14" s="49" t="n"/>
      <c r="T1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4" s="58">
        <f>IFERROR(VALUE(MID(tblSteps[[#This Row],[工程ID]],2,20)),"")</f>
        <v>9</v>
      </c>
      <c r="V14" s="58">
        <f>IF(tblSteps[[#This Row],[案件ID]]="","",IFERROR(MATCH(tblSteps[[#This Row],[案件ID]],tblProjects[案件ID],0),""))</f>
        <v>2</v>
      </c>
      <c r="W14" s="58">
        <f>IF(AND(tblSteps[[#This Row],[工程ID]]&lt;&gt;"",tblSteps[[#This Row],[状態]]&lt;&gt;"取消"),1,0)</f>
        <v>1</v>
      </c>
      <c r="X14" s="58">
        <f>IF(AND(tblSteps[[#This Row],[工程ID]]&lt;&gt;"",tblSteps[[#This Row],[案件行]]&lt;&gt;"",tblSteps[[#This Row],[状態]]&lt;&gt;"取消"),1,0)</f>
        <v>1</v>
      </c>
      <c r="Y14" s="58">
        <f>IF(tblSteps[[#This Row],[状態]]="完了",1,0)</f>
        <v>0</v>
      </c>
      <c r="Z14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4" s="62">
        <f>IF(ISNUMBER(tblSteps[[#This Row],[開始時刻]]),MOD(tblSteps[[#This Row],[開始時刻]],1),DefStart)</f>
        <v>0.375</v>
      </c>
      <c r="AB14" s="62">
        <f>IF(ISNUMBER(tblSteps[[#This Row],[終了時刻]]),MOD(tblSteps[[#This Row],[終了時刻]],1),DefEnd)</f>
        <v>0.75</v>
      </c>
      <c r="AC14" s="58">
        <f>IF(tblSteps[[#This Row],[日付OK]]=1,ROUND((INT(tblSteps[[#This Row],[計画開始日]])+tblSteps[[#This Row],[開始時刻値]])*1440,0),"")</f>
        <v>66673980</v>
      </c>
      <c r="AD14" s="58">
        <f>IF(tblSteps[[#This Row],[日付OK]]=1,ROUND((INT(tblSteps[[#This Row],[計画終了日]])+tblSteps[[#This Row],[終了時刻値]])*1440,0),"")</f>
        <v>66677400</v>
      </c>
      <c r="AE14" s="58">
        <f>IF(tblSteps[[#This Row],[日付OK]]=0,0,IF(tblSteps[[#This Row],[終了分]]&gt;tblSteps[[#This Row],[開始分]],1,0))</f>
        <v>1</v>
      </c>
      <c r="AF14" s="58">
        <f>IF(ISNUMBER(tblSteps[[#This Row],[進捗率]]),MAX(0,MIN(1,tblSteps[[#This Row],[進捗率]])),0)</f>
        <v>0</v>
      </c>
      <c r="AG14" s="58">
        <f>IF(AND(ISNUMBER(tblSteps[[#This Row],[計画工数（時間）]]),N(tblSteps[[#This Row],[計画工数（時間）]])&gt;0),1,0)</f>
        <v>1</v>
      </c>
      <c r="AH14" s="58">
        <f>tblSteps[[#This Row],[進捗値]]*N(tblSteps[[#This Row],[計画工数（時間）]])</f>
        <v>0</v>
      </c>
      <c r="AI14" s="58">
        <f>IF(ISNUMBER(tblSteps[[#This Row],[完了見込日]]),1,0)</f>
        <v>0</v>
      </c>
      <c r="AJ14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46303.0</v>
      </c>
      <c r="AK14" s="58">
        <f>IF(AND(tblSteps[[#This Row],[集計対象]]=1,tblSteps[[#This Row],[完了]]=0,tblSteps[[#This Row],[日付OK]]=1),MAX(0,RefDate-INT(tblSteps[[#This Row],[計画終了日]])),0)</f>
        <v>0</v>
      </c>
      <c r="AL1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4" s="58">
        <f>IF(AND(tblSteps[[#This Row],[集計対象]]=1,tblSteps[[#This Row],[完了]]=0,tblSteps[[#This Row],[時刻OK]]=1,tblSteps[[#This Row],[担当]]&lt;&gt;""),1,0)</f>
        <v>1</v>
      </c>
      <c r="AP1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4" s="58">
        <f>IF(tblSteps[[#This Row],[日付OK]]=1,INT(tblSteps[[#This Row],[計画開始日]]),1)</f>
        <v>46301</v>
      </c>
      <c r="AT14" s="58">
        <f>IF(tblSteps[[#This Row],[日付OK]]=1,INT(tblSteps[[#This Row],[計画終了日]]),0)</f>
        <v>46303</v>
      </c>
      <c r="AU14" s="58">
        <f>IF(ISNUMBER(tblSteps[[#This Row],[実績開始日]]),INT(tblSteps[[#This Row],[実績開始日]]),1)</f>
        <v>1</v>
      </c>
      <c r="AV1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4" s="58">
        <f>IF(AND(tblSteps[[#This Row],[集計対象]]=1,tblSteps[[#This Row],[完了]]=0,tblSteps[[#This Row],[日付OK]]=1),INT(tblSteps[[#This Row],[計画終了日]])+1,1)</f>
        <v>46304</v>
      </c>
      <c r="AX1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4" s="58">
        <f>IF(ISNUMBER(tblSteps[[#This Row],[顧客納期]]),INT(tblSteps[[#This Row],[顧客納期]]),0)</f>
        <v>46304</v>
      </c>
      <c r="AZ14" s="58">
        <f>IF(tblSteps[[#This Row],[日付OK]]=0,"",MIN(tblSteps[[#This Row],[計開]],IF(ISNUMBER(tblSteps[[#This Row],[実績開始日]]),tblSteps[[#This Row],[実開]],tblSteps[[#This Row],[計開]])))</f>
        <v>46301</v>
      </c>
      <c r="BA14" s="58">
        <f>IF(tblSteps[[#This Row],[日付OK]]=0,"",MAX(tblSteps[[#This Row],[計終]],tblSteps[[#This Row],[実終]],tblSteps[[#This Row],[遅終]]))</f>
        <v>46303</v>
      </c>
      <c r="BB1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4" s="58">
        <f>IF(AND(tblSteps[[#This Row],[集計対象]]=1,tblSteps[[#This Row],[状態]]="未着手"),IF(tblSteps[[#This Row],[日付OK]]=1,INT(tblSteps[[#This Row],[計画開始日]]),99999)*100000+N(tblSteps[[#This Row],[ID番号]]),"")</f>
        <v>4630100009</v>
      </c>
      <c r="BD1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24630100009</v>
      </c>
      <c r="BE1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4" s="58">
        <f>IF(tblSteps[[#This Row],[日別対象]]=1,COUNTIFS(tblSteps[日別対象],1,tblSteps[並びキー],"&lt;"&amp;tblSteps[[#This Row],[並びキー]])+1,"")</f>
        <v>7</v>
      </c>
      <c r="BH1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4" s="58">
        <f>IF(tblSteps[[#This Row],[週別対象]]=1,COUNTIFS(tblSteps[週別対象],1,tblSteps[並びキー],"&lt;"&amp;tblSteps[[#This Row],[並びキー]])+1,"")</f>
        <v>8</v>
      </c>
      <c r="BK1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4" s="58">
        <f>IFERROR(MATCH(tblSteps[[#This Row],[担当]],lst_Staff,0),99)*1000000000000+N(tblSteps[[#This Row],[開始分]])*10000+MOD(N(tblSteps[[#This Row],[ID番号]]),10000)</f>
        <v>3666739800009</v>
      </c>
      <c r="BM14" s="58" t="str">
        <f>IF(tblSteps[[#This Row],[時間割対象]]=1,COUNTIFS(tblSteps[時間割対象],1,tblSteps[時間割キー],"&lt;"&amp;tblSteps[[#This Row],[時間割キー]])+1,"")</f>
        <v/>
      </c>
      <c r="BN14" s="58">
        <f>IF(AND(tblSteps[[#This Row],[表示可能]]=1,tblSteps[[#This Row],[完了]]=0,tblSteps[[#This Row],[重要度]]&gt;0),1,0)</f>
        <v>0</v>
      </c>
      <c r="BO14" s="58">
        <f>tblSteps[[#This Row],[重要度]]*10000000000+IF(tblSteps[[#This Row],[日付OK]]=1,INT(tblSteps[[#This Row],[計画終了日]]),99999)*100000+N(tblSteps[[#This Row],[ID番号]])</f>
        <v>4630300009</v>
      </c>
      <c r="BP14" s="58" t="str">
        <f>IF(tblSteps[[#This Row],[ホーム注意対象]]=1,COUNTIFS(tblSteps[ホーム注意対象],1,tblSteps[ホーム注意キー],"&lt;"&amp;tblSteps[[#This Row],[ホーム注意キー]])+1,"")</f>
        <v/>
      </c>
      <c r="BQ14" s="58">
        <f>IF(tblSteps[[#This Row],[完了遅延日数]]&gt;0,1,0)</f>
        <v>0</v>
      </c>
      <c r="BR14" s="58" t="str">
        <f>IF(tblSteps[[#This Row],[完了遅延対象]]=1,COUNTIFS(tblSteps[完了遅延対象],1,tblSteps[並びキー],"&lt;"&amp;tblSteps[[#This Row],[並びキー]])+1,"")</f>
        <v/>
      </c>
    </row>
    <row r="15">
      <c r="A15" s="48" t="inlineStr">
        <is>
          <t>S0010</t>
        </is>
      </c>
      <c r="B15" s="48" t="inlineStr">
        <is>
          <t>A0021</t>
        </is>
      </c>
      <c r="C15" s="52" t="str">
        <f>IF(tblSteps[[#This Row],[案件ID]]="","",IF(tblSteps[[#This Row],[案件行]]="","（未登録の案件ID）",INDEX(tblProjects[案件名],tblSteps[[#This Row],[案件行]])&amp;""))</f>
        <v>自動倉庫コンベヤ増設工事</v>
      </c>
      <c r="D15" s="49" t="inlineStr">
        <is>
          <t>設計</t>
        </is>
      </c>
      <c r="E15" s="50" t="inlineStr">
        <is>
          <t>高橋</t>
        </is>
      </c>
      <c r="F15" s="50" t="inlineStr">
        <is>
          <t>完了</t>
        </is>
      </c>
      <c r="G15" s="59" t="n">
        <v>1</v>
      </c>
      <c r="H15" s="51" t="n">
        <v>46272</v>
      </c>
      <c r="I15" s="51" t="n">
        <v>46290</v>
      </c>
      <c r="J15" s="51" t="n"/>
      <c r="K15" s="51" t="n">
        <v>46272</v>
      </c>
      <c r="L15" s="51" t="n">
        <v>46290</v>
      </c>
      <c r="M1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5" s="57">
        <f>IF(tblSteps[[#This Row],[案件行]]="","",IF(ISNUMBER(INDEX(tblProjects[顧客納期],tblSteps[[#This Row],[案件行]])),INDEX(tblProjects[顧客納期],tblSteps[[#This Row],[案件行]]),""))</f>
        <v>46325.0</v>
      </c>
      <c r="O15" s="60" t="n"/>
      <c r="P15" s="60" t="n"/>
      <c r="Q15" s="61" t="n">
        <v>80</v>
      </c>
      <c r="R15" s="48" t="n"/>
      <c r="S15" s="49" t="n"/>
      <c r="T1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5" s="58">
        <f>IFERROR(VALUE(MID(tblSteps[[#This Row],[工程ID]],2,20)),"")</f>
        <v>10</v>
      </c>
      <c r="V15" s="58">
        <f>IF(tblSteps[[#This Row],[案件ID]]="","",IFERROR(MATCH(tblSteps[[#This Row],[案件ID]],tblProjects[案件ID],0),""))</f>
        <v>3</v>
      </c>
      <c r="W15" s="58">
        <f>IF(AND(tblSteps[[#This Row],[工程ID]]&lt;&gt;"",tblSteps[[#This Row],[状態]]&lt;&gt;"取消"),1,0)</f>
        <v>1</v>
      </c>
      <c r="X15" s="58">
        <f>IF(AND(tblSteps[[#This Row],[工程ID]]&lt;&gt;"",tblSteps[[#This Row],[案件行]]&lt;&gt;"",tblSteps[[#This Row],[状態]]&lt;&gt;"取消"),1,0)</f>
        <v>1</v>
      </c>
      <c r="Y15" s="58">
        <f>IF(tblSteps[[#This Row],[状態]]="完了",1,0)</f>
        <v>1</v>
      </c>
      <c r="Z15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5" s="62">
        <f>IF(ISNUMBER(tblSteps[[#This Row],[開始時刻]]),MOD(tblSteps[[#This Row],[開始時刻]],1),DefStart)</f>
        <v>0.375</v>
      </c>
      <c r="AB15" s="62">
        <f>IF(ISNUMBER(tblSteps[[#This Row],[終了時刻]]),MOD(tblSteps[[#This Row],[終了時刻]],1),DefEnd)</f>
        <v>0.75</v>
      </c>
      <c r="AC15" s="58">
        <f>IF(tblSteps[[#This Row],[日付OK]]=1,ROUND((INT(tblSteps[[#This Row],[計画開始日]])+tblSteps[[#This Row],[開始時刻値]])*1440,0),"")</f>
        <v>66632220</v>
      </c>
      <c r="AD15" s="58">
        <f>IF(tblSteps[[#This Row],[日付OK]]=1,ROUND((INT(tblSteps[[#This Row],[計画終了日]])+tblSteps[[#This Row],[終了時刻値]])*1440,0),"")</f>
        <v>66658680</v>
      </c>
      <c r="AE15" s="58">
        <f>IF(tblSteps[[#This Row],[日付OK]]=0,0,IF(tblSteps[[#This Row],[終了分]]&gt;tblSteps[[#This Row],[開始分]],1,0))</f>
        <v>1</v>
      </c>
      <c r="AF15" s="58">
        <f>IF(ISNUMBER(tblSteps[[#This Row],[進捗率]]),MAX(0,MIN(1,tblSteps[[#This Row],[進捗率]])),0)</f>
        <v>1</v>
      </c>
      <c r="AG15" s="58">
        <f>IF(AND(ISNUMBER(tblSteps[[#This Row],[計画工数（時間）]]),N(tblSteps[[#This Row],[計画工数（時間）]])&gt;0),1,0)</f>
        <v>1</v>
      </c>
      <c r="AH15" s="58">
        <f>tblSteps[[#This Row],[進捗値]]*N(tblSteps[[#This Row],[計画工数（時間）]])</f>
        <v>80</v>
      </c>
      <c r="AI15" s="58">
        <f>IF(ISNUMBER(tblSteps[[#This Row],[完了見込日]]),1,0)</f>
        <v>0</v>
      </c>
      <c r="AJ15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46290.0</v>
      </c>
      <c r="AK15" s="58">
        <f>IF(AND(tblSteps[[#This Row],[集計対象]]=1,tblSteps[[#This Row],[完了]]=0,tblSteps[[#This Row],[日付OK]]=1),MAX(0,RefDate-INT(tblSteps[[#This Row],[計画終了日]])),0)</f>
        <v>0</v>
      </c>
      <c r="AL1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5" s="58">
        <f>IF(AND(tblSteps[[#This Row],[集計対象]]=1,tblSteps[[#This Row],[完了]]=0,tblSteps[[#This Row],[時刻OK]]=1,tblSteps[[#This Row],[担当]]&lt;&gt;""),1,0)</f>
        <v>0</v>
      </c>
      <c r="AP1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完了</v>
      </c>
      <c r="AR1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5" s="58">
        <f>IF(tblSteps[[#This Row],[日付OK]]=1,INT(tblSteps[[#This Row],[計画開始日]]),1)</f>
        <v>46272</v>
      </c>
      <c r="AT15" s="58">
        <f>IF(tblSteps[[#This Row],[日付OK]]=1,INT(tblSteps[[#This Row],[計画終了日]]),0)</f>
        <v>46290</v>
      </c>
      <c r="AU15" s="58">
        <f>IF(ISNUMBER(tblSteps[[#This Row],[実績開始日]]),INT(tblSteps[[#This Row],[実績開始日]]),1)</f>
        <v>46272</v>
      </c>
      <c r="AV1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46290</v>
      </c>
      <c r="AW15" s="58">
        <f>IF(AND(tblSteps[[#This Row],[集計対象]]=1,tblSteps[[#This Row],[完了]]=0,tblSteps[[#This Row],[日付OK]]=1),INT(tblSteps[[#This Row],[計画終了日]])+1,1)</f>
        <v>1</v>
      </c>
      <c r="AX1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5" s="58">
        <f>IF(ISNUMBER(tblSteps[[#This Row],[顧客納期]]),INT(tblSteps[[#This Row],[顧客納期]]),0)</f>
        <v>46325</v>
      </c>
      <c r="AZ15" s="58">
        <f>IF(tblSteps[[#This Row],[日付OK]]=0,"",MIN(tblSteps[[#This Row],[計開]],IF(ISNUMBER(tblSteps[[#This Row],[実績開始日]]),tblSteps[[#This Row],[実開]],tblSteps[[#This Row],[計開]])))</f>
        <v>46272</v>
      </c>
      <c r="BA15" s="58">
        <f>IF(tblSteps[[#This Row],[日付OK]]=0,"",MAX(tblSteps[[#This Row],[計終]],tblSteps[[#This Row],[実終]],tblSteps[[#This Row],[遅終]]))</f>
        <v>46290</v>
      </c>
      <c r="BB1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5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44627200010</v>
      </c>
      <c r="BE1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1</v>
      </c>
      <c r="BG15" s="58" t="str">
        <f>IF(tblSteps[[#This Row],[日別対象]]=1,COUNTIFS(tblSteps[日別対象],1,tblSteps[並びキー],"&lt;"&amp;tblSteps[[#This Row],[並びキー]])+1,"")</f>
        <v/>
      </c>
      <c r="BH1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5" s="58">
        <f>IF(tblSteps[[#This Row],[週別対象]]=1,COUNTIFS(tblSteps[週別対象],1,tblSteps[並びキー],"&lt;"&amp;tblSteps[[#This Row],[並びキー]])+1,"")</f>
        <v>15</v>
      </c>
      <c r="BK1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5" s="58">
        <f>IFERROR(MATCH(tblSteps[[#This Row],[担当]],lst_Staff,0),99)*1000000000000+N(tblSteps[[#This Row],[開始分]])*10000+MOD(N(tblSteps[[#This Row],[ID番号]]),10000)</f>
        <v>2666322200010</v>
      </c>
      <c r="BM15" s="58" t="str">
        <f>IF(tblSteps[[#This Row],[時間割対象]]=1,COUNTIFS(tblSteps[時間割対象],1,tblSteps[時間割キー],"&lt;"&amp;tblSteps[[#This Row],[時間割キー]])+1,"")</f>
        <v/>
      </c>
      <c r="BN15" s="58">
        <f>IF(AND(tblSteps[[#This Row],[表示可能]]=1,tblSteps[[#This Row],[完了]]=0,tblSteps[[#This Row],[重要度]]&gt;0),1,0)</f>
        <v>0</v>
      </c>
      <c r="BO15" s="58">
        <f>tblSteps[[#This Row],[重要度]]*10000000000+IF(tblSteps[[#This Row],[日付OK]]=1,INT(tblSteps[[#This Row],[計画終了日]]),99999)*100000+N(tblSteps[[#This Row],[ID番号]])</f>
        <v>4629000010</v>
      </c>
      <c r="BP15" s="58" t="str">
        <f>IF(tblSteps[[#This Row],[ホーム注意対象]]=1,COUNTIFS(tblSteps[ホーム注意対象],1,tblSteps[ホーム注意キー],"&lt;"&amp;tblSteps[[#This Row],[ホーム注意キー]])+1,"")</f>
        <v/>
      </c>
      <c r="BQ15" s="58">
        <f>IF(tblSteps[[#This Row],[完了遅延日数]]&gt;0,1,0)</f>
        <v>0</v>
      </c>
      <c r="BR15" s="58" t="str">
        <f>IF(tblSteps[[#This Row],[完了遅延対象]]=1,COUNTIFS(tblSteps[完了遅延対象],1,tblSteps[並びキー],"&lt;"&amp;tblSteps[[#This Row],[並びキー]])+1,"")</f>
        <v/>
      </c>
    </row>
    <row r="16">
      <c r="A16" s="48" t="inlineStr">
        <is>
          <t>S0011</t>
        </is>
      </c>
      <c r="B16" s="48" t="inlineStr">
        <is>
          <t>A0021</t>
        </is>
      </c>
      <c r="C16" s="52" t="str">
        <f>IF(tblSteps[[#This Row],[案件ID]]="","",IF(tblSteps[[#This Row],[案件行]]="","（未登録の案件ID）",INDEX(tblProjects[案件名],tblSteps[[#This Row],[案件行]])&amp;""))</f>
        <v>自動倉庫コンベヤ増設工事</v>
      </c>
      <c r="D16" s="49" t="inlineStr">
        <is>
          <t>部材の発注・製作</t>
        </is>
      </c>
      <c r="E16" s="50" t="inlineStr">
        <is>
          <t>協力会社C</t>
        </is>
      </c>
      <c r="F16" s="50" t="inlineStr">
        <is>
          <t>進行中</t>
        </is>
      </c>
      <c r="G16" s="59" t="n">
        <v>0.7</v>
      </c>
      <c r="H16" s="51" t="n">
        <v>46286</v>
      </c>
      <c r="I16" s="51" t="n">
        <v>46304</v>
      </c>
      <c r="J16" s="51" t="n"/>
      <c r="K16" s="51" t="n">
        <v>46286</v>
      </c>
      <c r="L16" s="51" t="n"/>
      <c r="M1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6" s="57">
        <f>IF(tblSteps[[#This Row],[案件行]]="","",IF(ISNUMBER(INDEX(tblProjects[顧客納期],tblSteps[[#This Row],[案件行]])),INDEX(tblProjects[顧客納期],tblSteps[[#This Row],[案件行]]),""))</f>
        <v>46325.0</v>
      </c>
      <c r="O16" s="60" t="n"/>
      <c r="P16" s="60" t="n"/>
      <c r="Q16" s="61" t="n">
        <v>120</v>
      </c>
      <c r="R16" s="48" t="inlineStr">
        <is>
          <t>S0010</t>
        </is>
      </c>
      <c r="S16" s="49" t="n"/>
      <c r="T1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6" s="58">
        <f>IFERROR(VALUE(MID(tblSteps[[#This Row],[工程ID]],2,20)),"")</f>
        <v>11</v>
      </c>
      <c r="V16" s="58">
        <f>IF(tblSteps[[#This Row],[案件ID]]="","",IFERROR(MATCH(tblSteps[[#This Row],[案件ID]],tblProjects[案件ID],0),""))</f>
        <v>3</v>
      </c>
      <c r="W16" s="58">
        <f>IF(AND(tblSteps[[#This Row],[工程ID]]&lt;&gt;"",tblSteps[[#This Row],[状態]]&lt;&gt;"取消"),1,0)</f>
        <v>1</v>
      </c>
      <c r="X16" s="58">
        <f>IF(AND(tblSteps[[#This Row],[工程ID]]&lt;&gt;"",tblSteps[[#This Row],[案件行]]&lt;&gt;"",tblSteps[[#This Row],[状態]]&lt;&gt;"取消"),1,0)</f>
        <v>1</v>
      </c>
      <c r="Y16" s="58">
        <f>IF(tblSteps[[#This Row],[状態]]="完了",1,0)</f>
        <v>0</v>
      </c>
      <c r="Z16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6" s="62">
        <f>IF(ISNUMBER(tblSteps[[#This Row],[開始時刻]]),MOD(tblSteps[[#This Row],[開始時刻]],1),DefStart)</f>
        <v>0.375</v>
      </c>
      <c r="AB16" s="62">
        <f>IF(ISNUMBER(tblSteps[[#This Row],[終了時刻]]),MOD(tblSteps[[#This Row],[終了時刻]],1),DefEnd)</f>
        <v>0.75</v>
      </c>
      <c r="AC16" s="58">
        <f>IF(tblSteps[[#This Row],[日付OK]]=1,ROUND((INT(tblSteps[[#This Row],[計画開始日]])+tblSteps[[#This Row],[開始時刻値]])*1440,0),"")</f>
        <v>66652380</v>
      </c>
      <c r="AD16" s="58">
        <f>IF(tblSteps[[#This Row],[日付OK]]=1,ROUND((INT(tblSteps[[#This Row],[計画終了日]])+tblSteps[[#This Row],[終了時刻値]])*1440,0),"")</f>
        <v>66678840</v>
      </c>
      <c r="AE16" s="58">
        <f>IF(tblSteps[[#This Row],[日付OK]]=0,0,IF(tblSteps[[#This Row],[終了分]]&gt;tblSteps[[#This Row],[開始分]],1,0))</f>
        <v>1</v>
      </c>
      <c r="AF16" s="58">
        <f>IF(ISNUMBER(tblSteps[[#This Row],[進捗率]]),MAX(0,MIN(1,tblSteps[[#This Row],[進捗率]])),0)</f>
        <v>0.7</v>
      </c>
      <c r="AG16" s="58">
        <f>IF(AND(ISNUMBER(tblSteps[[#This Row],[計画工数（時間）]]),N(tblSteps[[#This Row],[計画工数（時間）]])&gt;0),1,0)</f>
        <v>1</v>
      </c>
      <c r="AH16" s="58">
        <f>tblSteps[[#This Row],[進捗値]]*N(tblSteps[[#This Row],[計画工数（時間）]])</f>
        <v>84</v>
      </c>
      <c r="AI16" s="58">
        <f>IF(ISNUMBER(tblSteps[[#This Row],[完了見込日]]),1,0)</f>
        <v>0</v>
      </c>
      <c r="AJ16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46304.0</v>
      </c>
      <c r="AK16" s="58">
        <f>IF(AND(tblSteps[[#This Row],[集計対象]]=1,tblSteps[[#This Row],[完了]]=0,tblSteps[[#This Row],[日付OK]]=1),MAX(0,RefDate-INT(tblSteps[[#This Row],[計画終了日]])),0)</f>
        <v>0</v>
      </c>
      <c r="AL1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6" s="58">
        <f>IF(AND(tblSteps[[#This Row],[集計対象]]=1,tblSteps[[#This Row],[完了]]=0,tblSteps[[#This Row],[時刻OK]]=1,tblSteps[[#This Row],[担当]]&lt;&gt;""),1,0)</f>
        <v>1</v>
      </c>
      <c r="AP1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6" s="58">
        <f>IF(tblSteps[[#This Row],[日付OK]]=1,INT(tblSteps[[#This Row],[計画開始日]]),1)</f>
        <v>46286</v>
      </c>
      <c r="AT16" s="58">
        <f>IF(tblSteps[[#This Row],[日付OK]]=1,INT(tblSteps[[#This Row],[計画終了日]]),0)</f>
        <v>46304</v>
      </c>
      <c r="AU16" s="58">
        <f>IF(ISNUMBER(tblSteps[[#This Row],[実績開始日]]),INT(tblSteps[[#This Row],[実績開始日]]),1)</f>
        <v>46286</v>
      </c>
      <c r="AV1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46300</v>
      </c>
      <c r="AW16" s="58">
        <f>IF(AND(tblSteps[[#This Row],[集計対象]]=1,tblSteps[[#This Row],[完了]]=0,tblSteps[[#This Row],[日付OK]]=1),INT(tblSteps[[#This Row],[計画終了日]])+1,1)</f>
        <v>46305</v>
      </c>
      <c r="AX1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6" s="58">
        <f>IF(ISNUMBER(tblSteps[[#This Row],[顧客納期]]),INT(tblSteps[[#This Row],[顧客納期]]),0)</f>
        <v>46325</v>
      </c>
      <c r="AZ16" s="58">
        <f>IF(tblSteps[[#This Row],[日付OK]]=0,"",MIN(tblSteps[[#This Row],[計開]],IF(ISNUMBER(tblSteps[[#This Row],[実績開始日]]),tblSteps[[#This Row],[実開]],tblSteps[[#This Row],[計開]])))</f>
        <v>46286</v>
      </c>
      <c r="BA16" s="58">
        <f>IF(tblSteps[[#This Row],[日付OK]]=0,"",MAX(tblSteps[[#This Row],[計終]],tblSteps[[#This Row],[実終]],tblSteps[[#This Row],[遅終]]))</f>
        <v>46304</v>
      </c>
      <c r="BB16" s="58">
        <f>IF(AND(tblSteps[[#This Row],[集計対象]]=1,tblSteps[[#This Row],[状態]]="進行中"),IF(tblSteps[[#This Row],[日付OK]]=1,INT(tblSteps[[#This Row],[計画開始日]]),99999)*100000+N(tblSteps[[#This Row],[ID番号]]),"")</f>
        <v>4628600011</v>
      </c>
      <c r="BC1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44628600011</v>
      </c>
      <c r="BE1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6" s="58">
        <f>IF(tblSteps[[#This Row],[日別対象]]=1,COUNTIFS(tblSteps[日別対象],1,tblSteps[並びキー],"&lt;"&amp;tblSteps[[#This Row],[並びキー]])+1,"")</f>
        <v>13</v>
      </c>
      <c r="BH1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6" s="58">
        <f>IF(tblSteps[[#This Row],[週別対象]]=1,COUNTIFS(tblSteps[週別対象],1,tblSteps[並びキー],"&lt;"&amp;tblSteps[[#This Row],[並びキー]])+1,"")</f>
        <v>16</v>
      </c>
      <c r="BK1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16" s="58">
        <f>IFERROR(MATCH(tblSteps[[#This Row],[担当]],lst_Staff,0),99)*1000000000000+N(tblSteps[[#This Row],[開始分]])*10000+MOD(N(tblSteps[[#This Row],[ID番号]]),10000)</f>
        <v>7666523800011</v>
      </c>
      <c r="BM16" s="58">
        <f>IF(tblSteps[[#This Row],[時間割対象]]=1,COUNTIFS(tblSteps[時間割対象],1,tblSteps[時間割キー],"&lt;"&amp;tblSteps[[#This Row],[時間割キー]])+1,"")</f>
        <v>10</v>
      </c>
      <c r="BN16" s="58">
        <f>IF(AND(tblSteps[[#This Row],[表示可能]]=1,tblSteps[[#This Row],[完了]]=0,tblSteps[[#This Row],[重要度]]&gt;0),1,0)</f>
        <v>0</v>
      </c>
      <c r="BO16" s="58">
        <f>tblSteps[[#This Row],[重要度]]*10000000000+IF(tblSteps[[#This Row],[日付OK]]=1,INT(tblSteps[[#This Row],[計画終了日]]),99999)*100000+N(tblSteps[[#This Row],[ID番号]])</f>
        <v>4630400011</v>
      </c>
      <c r="BP16" s="58" t="str">
        <f>IF(tblSteps[[#This Row],[ホーム注意対象]]=1,COUNTIFS(tblSteps[ホーム注意対象],1,tblSteps[ホーム注意キー],"&lt;"&amp;tblSteps[[#This Row],[ホーム注意キー]])+1,"")</f>
        <v/>
      </c>
      <c r="BQ16" s="58">
        <f>IF(tblSteps[[#This Row],[完了遅延日数]]&gt;0,1,0)</f>
        <v>0</v>
      </c>
      <c r="BR16" s="58" t="str">
        <f>IF(tblSteps[[#This Row],[完了遅延対象]]=1,COUNTIFS(tblSteps[完了遅延対象],1,tblSteps[並びキー],"&lt;"&amp;tblSteps[[#This Row],[並びキー]])+1,"")</f>
        <v/>
      </c>
    </row>
    <row r="17">
      <c r="A17" s="48" t="inlineStr">
        <is>
          <t>S0012</t>
        </is>
      </c>
      <c r="B17" s="48" t="inlineStr">
        <is>
          <t>A0021</t>
        </is>
      </c>
      <c r="C17" s="52" t="str">
        <f>IF(tblSteps[[#This Row],[案件ID]]="","",IF(tblSteps[[#This Row],[案件行]]="","（未登録の案件ID）",INDEX(tblProjects[案件名],tblSteps[[#This Row],[案件行]])&amp;""))</f>
        <v>自動倉庫コンベヤ増設工事</v>
      </c>
      <c r="D17" s="49" t="inlineStr">
        <is>
          <t>既設撤去の立会い（夜間）</t>
        </is>
      </c>
      <c r="E17" s="50" t="inlineStr">
        <is>
          <t>高橋</t>
        </is>
      </c>
      <c r="F17" s="50" t="inlineStr">
        <is>
          <t>未着手</t>
        </is>
      </c>
      <c r="G17" s="59" t="n">
        <v>0</v>
      </c>
      <c r="H17" s="51" t="n">
        <v>46300</v>
      </c>
      <c r="I17" s="51" t="n">
        <v>46301</v>
      </c>
      <c r="J17" s="51" t="n"/>
      <c r="K17" s="51" t="n"/>
      <c r="L17" s="51" t="n"/>
      <c r="M1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7" s="57">
        <f>IF(tblSteps[[#This Row],[案件行]]="","",IF(ISNUMBER(INDEX(tblProjects[顧客納期],tblSteps[[#This Row],[案件行]])),INDEX(tblProjects[顧客納期],tblSteps[[#This Row],[案件行]]),""))</f>
        <v>46325.0</v>
      </c>
      <c r="O17" s="60" t="n">
        <v>0.75</v>
      </c>
      <c r="P17" s="60" t="n">
        <v>0.25</v>
      </c>
      <c r="Q17" s="61" t="n">
        <v>12</v>
      </c>
      <c r="R17" s="48" t="inlineStr">
        <is>
          <t>S0010</t>
        </is>
      </c>
      <c r="S17" s="49" t="inlineStr">
        <is>
          <t>日をまたぐ夜間作業</t>
        </is>
      </c>
      <c r="T1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7" s="58">
        <f>IFERROR(VALUE(MID(tblSteps[[#This Row],[工程ID]],2,20)),"")</f>
        <v>12</v>
      </c>
      <c r="V17" s="58">
        <f>IF(tblSteps[[#This Row],[案件ID]]="","",IFERROR(MATCH(tblSteps[[#This Row],[案件ID]],tblProjects[案件ID],0),""))</f>
        <v>3</v>
      </c>
      <c r="W17" s="58">
        <f>IF(AND(tblSteps[[#This Row],[工程ID]]&lt;&gt;"",tblSteps[[#This Row],[状態]]&lt;&gt;"取消"),1,0)</f>
        <v>1</v>
      </c>
      <c r="X17" s="58">
        <f>IF(AND(tblSteps[[#This Row],[工程ID]]&lt;&gt;"",tblSteps[[#This Row],[案件行]]&lt;&gt;"",tblSteps[[#This Row],[状態]]&lt;&gt;"取消"),1,0)</f>
        <v>1</v>
      </c>
      <c r="Y17" s="58">
        <f>IF(tblSteps[[#This Row],[状態]]="完了",1,0)</f>
        <v>0</v>
      </c>
      <c r="Z17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7" s="62">
        <f>IF(ISNUMBER(tblSteps[[#This Row],[開始時刻]]),MOD(tblSteps[[#This Row],[開始時刻]],1),DefStart)</f>
        <v>0.75</v>
      </c>
      <c r="AB17" s="62">
        <f>IF(ISNUMBER(tblSteps[[#This Row],[終了時刻]]),MOD(tblSteps[[#This Row],[終了時刻]],1),DefEnd)</f>
        <v>0.25</v>
      </c>
      <c r="AC17" s="58">
        <f>IF(tblSteps[[#This Row],[日付OK]]=1,ROUND((INT(tblSteps[[#This Row],[計画開始日]])+tblSteps[[#This Row],[開始時刻値]])*1440,0),"")</f>
        <v>66673080</v>
      </c>
      <c r="AD17" s="58">
        <f>IF(tblSteps[[#This Row],[日付OK]]=1,ROUND((INT(tblSteps[[#This Row],[計画終了日]])+tblSteps[[#This Row],[終了時刻値]])*1440,0),"")</f>
        <v>66673800</v>
      </c>
      <c r="AE17" s="58">
        <f>IF(tblSteps[[#This Row],[日付OK]]=0,0,IF(tblSteps[[#This Row],[終了分]]&gt;tblSteps[[#This Row],[開始分]],1,0))</f>
        <v>1</v>
      </c>
      <c r="AF17" s="58">
        <f>IF(ISNUMBER(tblSteps[[#This Row],[進捗率]]),MAX(0,MIN(1,tblSteps[[#This Row],[進捗率]])),0)</f>
        <v>0</v>
      </c>
      <c r="AG17" s="58">
        <f>IF(AND(ISNUMBER(tblSteps[[#This Row],[計画工数（時間）]]),N(tblSteps[[#This Row],[計画工数（時間）]])&gt;0),1,0)</f>
        <v>1</v>
      </c>
      <c r="AH17" s="58">
        <f>tblSteps[[#This Row],[進捗値]]*N(tblSteps[[#This Row],[計画工数（時間）]])</f>
        <v>0</v>
      </c>
      <c r="AI17" s="58">
        <f>IF(ISNUMBER(tblSteps[[#This Row],[完了見込日]]),1,0)</f>
        <v>0</v>
      </c>
      <c r="AJ17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46301.0</v>
      </c>
      <c r="AK17" s="58">
        <f>IF(AND(tblSteps[[#This Row],[集計対象]]=1,tblSteps[[#This Row],[完了]]=0,tblSteps[[#This Row],[日付OK]]=1),MAX(0,RefDate-INT(tblSteps[[#This Row],[計画終了日]])),0)</f>
        <v>0</v>
      </c>
      <c r="AL1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7" s="58">
        <f>IF(AND(tblSteps[[#This Row],[集計対象]]=1,tblSteps[[#This Row],[完了]]=0,tblSteps[[#This Row],[時刻OK]]=1,tblSteps[[#This Row],[担当]]&lt;&gt;""),1,0)</f>
        <v>1</v>
      </c>
      <c r="AP1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7" s="58">
        <f>IF(tblSteps[[#This Row],[日付OK]]=1,INT(tblSteps[[#This Row],[計画開始日]]),1)</f>
        <v>46300</v>
      </c>
      <c r="AT17" s="58">
        <f>IF(tblSteps[[#This Row],[日付OK]]=1,INT(tblSteps[[#This Row],[計画終了日]]),0)</f>
        <v>46301</v>
      </c>
      <c r="AU17" s="58">
        <f>IF(ISNUMBER(tblSteps[[#This Row],[実績開始日]]),INT(tblSteps[[#This Row],[実績開始日]]),1)</f>
        <v>1</v>
      </c>
      <c r="AV1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7" s="58">
        <f>IF(AND(tblSteps[[#This Row],[集計対象]]=1,tblSteps[[#This Row],[完了]]=0,tblSteps[[#This Row],[日付OK]]=1),INT(tblSteps[[#This Row],[計画終了日]])+1,1)</f>
        <v>46302</v>
      </c>
      <c r="AX1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7" s="58">
        <f>IF(ISNUMBER(tblSteps[[#This Row],[顧客納期]]),INT(tblSteps[[#This Row],[顧客納期]]),0)</f>
        <v>46325</v>
      </c>
      <c r="AZ17" s="58">
        <f>IF(tblSteps[[#This Row],[日付OK]]=0,"",MIN(tblSteps[[#This Row],[計開]],IF(ISNUMBER(tblSteps[[#This Row],[実績開始日]]),tblSteps[[#This Row],[実開]],tblSteps[[#This Row],[計開]])))</f>
        <v>46300</v>
      </c>
      <c r="BA17" s="58">
        <f>IF(tblSteps[[#This Row],[日付OK]]=0,"",MAX(tblSteps[[#This Row],[計終]],tblSteps[[#This Row],[実終]],tblSteps[[#This Row],[遅終]]))</f>
        <v>46301</v>
      </c>
      <c r="BB1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7" s="58">
        <f>IF(AND(tblSteps[[#This Row],[集計対象]]=1,tblSteps[[#This Row],[状態]]="未着手"),IF(tblSteps[[#This Row],[日付OK]]=1,INT(tblSteps[[#This Row],[計画開始日]]),99999)*100000+N(tblSteps[[#This Row],[ID番号]]),"")</f>
        <v>4630000012</v>
      </c>
      <c r="BD1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44630000012</v>
      </c>
      <c r="BE1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7" s="58">
        <f>IF(tblSteps[[#This Row],[日別対象]]=1,COUNTIFS(tblSteps[日別対象],1,tblSteps[並びキー],"&lt;"&amp;tblSteps[[#This Row],[並びキー]])+1,"")</f>
        <v>14</v>
      </c>
      <c r="BH1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7" s="58">
        <f>IF(tblSteps[[#This Row],[週別対象]]=1,COUNTIFS(tblSteps[週別対象],1,tblSteps[並びキー],"&lt;"&amp;tblSteps[[#This Row],[並びキー]])+1,"")</f>
        <v>17</v>
      </c>
      <c r="BK1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17" s="58">
        <f>IFERROR(MATCH(tblSteps[[#This Row],[担当]],lst_Staff,0),99)*1000000000000+N(tblSteps[[#This Row],[開始分]])*10000+MOD(N(tblSteps[[#This Row],[ID番号]]),10000)</f>
        <v>2666730800012</v>
      </c>
      <c r="BM17" s="58">
        <f>IF(tblSteps[[#This Row],[時間割対象]]=1,COUNTIFS(tblSteps[時間割対象],1,tblSteps[時間割キー],"&lt;"&amp;tblSteps[[#This Row],[時間割キー]])+1,"")</f>
        <v>5</v>
      </c>
      <c r="BN17" s="58">
        <f>IF(AND(tblSteps[[#This Row],[表示可能]]=1,tblSteps[[#This Row],[完了]]=0,tblSteps[[#This Row],[重要度]]&gt;0),1,0)</f>
        <v>0</v>
      </c>
      <c r="BO17" s="58">
        <f>tblSteps[[#This Row],[重要度]]*10000000000+IF(tblSteps[[#This Row],[日付OK]]=1,INT(tblSteps[[#This Row],[計画終了日]]),99999)*100000+N(tblSteps[[#This Row],[ID番号]])</f>
        <v>4630100012</v>
      </c>
      <c r="BP17" s="58" t="str">
        <f>IF(tblSteps[[#This Row],[ホーム注意対象]]=1,COUNTIFS(tblSteps[ホーム注意対象],1,tblSteps[ホーム注意キー],"&lt;"&amp;tblSteps[[#This Row],[ホーム注意キー]])+1,"")</f>
        <v/>
      </c>
      <c r="BQ17" s="58">
        <f>IF(tblSteps[[#This Row],[完了遅延日数]]&gt;0,1,0)</f>
        <v>0</v>
      </c>
      <c r="BR17" s="58" t="str">
        <f>IF(tblSteps[[#This Row],[完了遅延対象]]=1,COUNTIFS(tblSteps[完了遅延対象],1,tblSteps[並びキー],"&lt;"&amp;tblSteps[[#This Row],[並びキー]])+1,"")</f>
        <v/>
      </c>
    </row>
    <row r="18">
      <c r="A18" s="48" t="inlineStr">
        <is>
          <t>S0013</t>
        </is>
      </c>
      <c r="B18" s="48" t="inlineStr">
        <is>
          <t>A0021</t>
        </is>
      </c>
      <c r="C18" s="52" t="str">
        <f>IF(tblSteps[[#This Row],[案件ID]]="","",IF(tblSteps[[#This Row],[案件行]]="","（未登録の案件ID）",INDEX(tblProjects[案件名],tblSteps[[#This Row],[案件行]])&amp;""))</f>
        <v>自動倉庫コンベヤ増設工事</v>
      </c>
      <c r="D18" s="49" t="inlineStr">
        <is>
          <t>コンベヤ設置</t>
        </is>
      </c>
      <c r="E18" s="50" t="inlineStr">
        <is>
          <t>協力会社A</t>
        </is>
      </c>
      <c r="F18" s="50" t="inlineStr">
        <is>
          <t>未着手</t>
        </is>
      </c>
      <c r="G18" s="59" t="n">
        <v>0</v>
      </c>
      <c r="H18" s="51" t="n">
        <v>46308</v>
      </c>
      <c r="I18" s="51" t="n">
        <v>46318</v>
      </c>
      <c r="J18" s="51" t="n"/>
      <c r="K18" s="51" t="n"/>
      <c r="L18" s="51" t="n"/>
      <c r="M1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8" s="57">
        <f>IF(tblSteps[[#This Row],[案件行]]="","",IF(ISNUMBER(INDEX(tblProjects[顧客納期],tblSteps[[#This Row],[案件行]])),INDEX(tblProjects[顧客納期],tblSteps[[#This Row],[案件行]]),""))</f>
        <v>46325.0</v>
      </c>
      <c r="O18" s="60" t="n"/>
      <c r="P18" s="60" t="n"/>
      <c r="Q18" s="61" t="n">
        <v>72</v>
      </c>
      <c r="R18" s="48" t="inlineStr">
        <is>
          <t>S0011</t>
        </is>
      </c>
      <c r="S18" s="49" t="n"/>
      <c r="T1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8" s="58">
        <f>IFERROR(VALUE(MID(tblSteps[[#This Row],[工程ID]],2,20)),"")</f>
        <v>13</v>
      </c>
      <c r="V18" s="58">
        <f>IF(tblSteps[[#This Row],[案件ID]]="","",IFERROR(MATCH(tblSteps[[#This Row],[案件ID]],tblProjects[案件ID],0),""))</f>
        <v>3</v>
      </c>
      <c r="W18" s="58">
        <f>IF(AND(tblSteps[[#This Row],[工程ID]]&lt;&gt;"",tblSteps[[#This Row],[状態]]&lt;&gt;"取消"),1,0)</f>
        <v>1</v>
      </c>
      <c r="X18" s="58">
        <f>IF(AND(tblSteps[[#This Row],[工程ID]]&lt;&gt;"",tblSteps[[#This Row],[案件行]]&lt;&gt;"",tblSteps[[#This Row],[状態]]&lt;&gt;"取消"),1,0)</f>
        <v>1</v>
      </c>
      <c r="Y18" s="58">
        <f>IF(tblSteps[[#This Row],[状態]]="完了",1,0)</f>
        <v>0</v>
      </c>
      <c r="Z18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8" s="62">
        <f>IF(ISNUMBER(tblSteps[[#This Row],[開始時刻]]),MOD(tblSteps[[#This Row],[開始時刻]],1),DefStart)</f>
        <v>0.375</v>
      </c>
      <c r="AB18" s="62">
        <f>IF(ISNUMBER(tblSteps[[#This Row],[終了時刻]]),MOD(tblSteps[[#This Row],[終了時刻]],1),DefEnd)</f>
        <v>0.75</v>
      </c>
      <c r="AC18" s="58">
        <f>IF(tblSteps[[#This Row],[日付OK]]=1,ROUND((INT(tblSteps[[#This Row],[計画開始日]])+tblSteps[[#This Row],[開始時刻値]])*1440,0),"")</f>
        <v>66684060</v>
      </c>
      <c r="AD18" s="58">
        <f>IF(tblSteps[[#This Row],[日付OK]]=1,ROUND((INT(tblSteps[[#This Row],[計画終了日]])+tblSteps[[#This Row],[終了時刻値]])*1440,0),"")</f>
        <v>66699000</v>
      </c>
      <c r="AE18" s="58">
        <f>IF(tblSteps[[#This Row],[日付OK]]=0,0,IF(tblSteps[[#This Row],[終了分]]&gt;tblSteps[[#This Row],[開始分]],1,0))</f>
        <v>1</v>
      </c>
      <c r="AF18" s="58">
        <f>IF(ISNUMBER(tblSteps[[#This Row],[進捗率]]),MAX(0,MIN(1,tblSteps[[#This Row],[進捗率]])),0)</f>
        <v>0</v>
      </c>
      <c r="AG18" s="58">
        <f>IF(AND(ISNUMBER(tblSteps[[#This Row],[計画工数（時間）]]),N(tblSteps[[#This Row],[計画工数（時間）]])&gt;0),1,0)</f>
        <v>1</v>
      </c>
      <c r="AH18" s="58">
        <f>tblSteps[[#This Row],[進捗値]]*N(tblSteps[[#This Row],[計画工数（時間）]])</f>
        <v>0</v>
      </c>
      <c r="AI18" s="58">
        <f>IF(ISNUMBER(tblSteps[[#This Row],[完了見込日]]),1,0)</f>
        <v>0</v>
      </c>
      <c r="AJ18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46318.0</v>
      </c>
      <c r="AK18" s="58">
        <f>IF(AND(tblSteps[[#This Row],[集計対象]]=1,tblSteps[[#This Row],[完了]]=0,tblSteps[[#This Row],[日付OK]]=1),MAX(0,RefDate-INT(tblSteps[[#This Row],[計画終了日]])),0)</f>
        <v>0</v>
      </c>
      <c r="AL1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8" s="58">
        <f>IF(AND(tblSteps[[#This Row],[集計対象]]=1,tblSteps[[#This Row],[完了]]=0,tblSteps[[#This Row],[時刻OK]]=1,tblSteps[[#This Row],[担当]]&lt;&gt;""),1,0)</f>
        <v>1</v>
      </c>
      <c r="AP1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8" s="58">
        <f>IF(tblSteps[[#This Row],[日付OK]]=1,INT(tblSteps[[#This Row],[計画開始日]]),1)</f>
        <v>46308</v>
      </c>
      <c r="AT18" s="58">
        <f>IF(tblSteps[[#This Row],[日付OK]]=1,INT(tblSteps[[#This Row],[計画終了日]]),0)</f>
        <v>46318</v>
      </c>
      <c r="AU18" s="58">
        <f>IF(ISNUMBER(tblSteps[[#This Row],[実績開始日]]),INT(tblSteps[[#This Row],[実績開始日]]),1)</f>
        <v>1</v>
      </c>
      <c r="AV1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8" s="58">
        <f>IF(AND(tblSteps[[#This Row],[集計対象]]=1,tblSteps[[#This Row],[完了]]=0,tblSteps[[#This Row],[日付OK]]=1),INT(tblSteps[[#This Row],[計画終了日]])+1,1)</f>
        <v>46319</v>
      </c>
      <c r="AX1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8" s="58">
        <f>IF(ISNUMBER(tblSteps[[#This Row],[顧客納期]]),INT(tblSteps[[#This Row],[顧客納期]]),0)</f>
        <v>46325</v>
      </c>
      <c r="AZ18" s="58">
        <f>IF(tblSteps[[#This Row],[日付OK]]=0,"",MIN(tblSteps[[#This Row],[計開]],IF(ISNUMBER(tblSteps[[#This Row],[実績開始日]]),tblSteps[[#This Row],[実開]],tblSteps[[#This Row],[計開]])))</f>
        <v>46308</v>
      </c>
      <c r="BA18" s="58">
        <f>IF(tblSteps[[#This Row],[日付OK]]=0,"",MAX(tblSteps[[#This Row],[計終]],tblSteps[[#This Row],[実終]],tblSteps[[#This Row],[遅終]]))</f>
        <v>46318</v>
      </c>
      <c r="BB1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8" s="58">
        <f>IF(AND(tblSteps[[#This Row],[集計対象]]=1,tblSteps[[#This Row],[状態]]="未着手"),IF(tblSteps[[#This Row],[日付OK]]=1,INT(tblSteps[[#This Row],[計画開始日]]),99999)*100000+N(tblSteps[[#This Row],[ID番号]]),"")</f>
        <v>4630800013</v>
      </c>
      <c r="BD1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44630800013</v>
      </c>
      <c r="BE1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8" s="58">
        <f>IF(tblSteps[[#This Row],[日別対象]]=1,COUNTIFS(tblSteps[日別対象],1,tblSteps[並びキー],"&lt;"&amp;tblSteps[[#This Row],[並びキー]])+1,"")</f>
        <v>16</v>
      </c>
      <c r="BH1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8" s="58">
        <f>IF(tblSteps[[#This Row],[週別対象]]=1,COUNTIFS(tblSteps[週別対象],1,tblSteps[並びキー],"&lt;"&amp;tblSteps[[#This Row],[並びキー]])+1,"")</f>
        <v>19</v>
      </c>
      <c r="BK1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8" s="58">
        <f>IFERROR(MATCH(tblSteps[[#This Row],[担当]],lst_Staff,0),99)*1000000000000+N(tblSteps[[#This Row],[開始分]])*10000+MOD(N(tblSteps[[#This Row],[ID番号]]),10000)</f>
        <v>5666840600013</v>
      </c>
      <c r="BM18" s="58" t="str">
        <f>IF(tblSteps[[#This Row],[時間割対象]]=1,COUNTIFS(tblSteps[時間割対象],1,tblSteps[時間割キー],"&lt;"&amp;tblSteps[[#This Row],[時間割キー]])+1,"")</f>
        <v/>
      </c>
      <c r="BN18" s="58">
        <f>IF(AND(tblSteps[[#This Row],[表示可能]]=1,tblSteps[[#This Row],[完了]]=0,tblSteps[[#This Row],[重要度]]&gt;0),1,0)</f>
        <v>0</v>
      </c>
      <c r="BO18" s="58">
        <f>tblSteps[[#This Row],[重要度]]*10000000000+IF(tblSteps[[#This Row],[日付OK]]=1,INT(tblSteps[[#This Row],[計画終了日]]),99999)*100000+N(tblSteps[[#This Row],[ID番号]])</f>
        <v>4631800013</v>
      </c>
      <c r="BP18" s="58" t="str">
        <f>IF(tblSteps[[#This Row],[ホーム注意対象]]=1,COUNTIFS(tblSteps[ホーム注意対象],1,tblSteps[ホーム注意キー],"&lt;"&amp;tblSteps[[#This Row],[ホーム注意キー]])+1,"")</f>
        <v/>
      </c>
      <c r="BQ18" s="58">
        <f>IF(tblSteps[[#This Row],[完了遅延日数]]&gt;0,1,0)</f>
        <v>0</v>
      </c>
      <c r="BR18" s="58" t="str">
        <f>IF(tblSteps[[#This Row],[完了遅延対象]]=1,COUNTIFS(tblSteps[完了遅延対象],1,tblSteps[並びキー],"&lt;"&amp;tblSteps[[#This Row],[並びキー]])+1,"")</f>
        <v/>
      </c>
    </row>
    <row r="19">
      <c r="A19" s="48" t="inlineStr">
        <is>
          <t>S0014</t>
        </is>
      </c>
      <c r="B19" s="48" t="inlineStr">
        <is>
          <t>A0021</t>
        </is>
      </c>
      <c r="C19" s="52" t="str">
        <f>IF(tblSteps[[#This Row],[案件ID]]="","",IF(tblSteps[[#This Row],[案件行]]="","（未登録の案件ID）",INDEX(tblProjects[案件名],tblSteps[[#This Row],[案件行]])&amp;""))</f>
        <v>自動倉庫コンベヤ増設工事</v>
      </c>
      <c r="D19" s="49" t="inlineStr">
        <is>
          <t>電気配線</t>
        </is>
      </c>
      <c r="E19" s="50" t="inlineStr">
        <is>
          <t>伊藤</t>
        </is>
      </c>
      <c r="F19" s="50" t="inlineStr">
        <is>
          <t>未着手</t>
        </is>
      </c>
      <c r="G19" s="59" t="n">
        <v>0</v>
      </c>
      <c r="H19" s="51" t="n">
        <v>46314</v>
      </c>
      <c r="I19" s="51" t="n">
        <v>46322</v>
      </c>
      <c r="J19" s="51" t="n"/>
      <c r="K19" s="51" t="n"/>
      <c r="L19" s="51" t="n"/>
      <c r="M1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9" s="57">
        <f>IF(tblSteps[[#This Row],[案件行]]="","",IF(ISNUMBER(INDEX(tblProjects[顧客納期],tblSteps[[#This Row],[案件行]])),INDEX(tblProjects[顧客納期],tblSteps[[#This Row],[案件行]]),""))</f>
        <v>46325.0</v>
      </c>
      <c r="O19" s="60" t="n"/>
      <c r="P19" s="60" t="n"/>
      <c r="Q19" s="61" t="n">
        <v>48</v>
      </c>
      <c r="R19" s="48" t="inlineStr">
        <is>
          <t>S0013</t>
        </is>
      </c>
      <c r="S19" s="49" t="n"/>
      <c r="T1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9" s="58">
        <f>IFERROR(VALUE(MID(tblSteps[[#This Row],[工程ID]],2,20)),"")</f>
        <v>14</v>
      </c>
      <c r="V19" s="58">
        <f>IF(tblSteps[[#This Row],[案件ID]]="","",IFERROR(MATCH(tblSteps[[#This Row],[案件ID]],tblProjects[案件ID],0),""))</f>
        <v>3</v>
      </c>
      <c r="W19" s="58">
        <f>IF(AND(tblSteps[[#This Row],[工程ID]]&lt;&gt;"",tblSteps[[#This Row],[状態]]&lt;&gt;"取消"),1,0)</f>
        <v>1</v>
      </c>
      <c r="X19" s="58">
        <f>IF(AND(tblSteps[[#This Row],[工程ID]]&lt;&gt;"",tblSteps[[#This Row],[案件行]]&lt;&gt;"",tblSteps[[#This Row],[状態]]&lt;&gt;"取消"),1,0)</f>
        <v>1</v>
      </c>
      <c r="Y19" s="58">
        <f>IF(tblSteps[[#This Row],[状態]]="完了",1,0)</f>
        <v>0</v>
      </c>
      <c r="Z19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19" s="62">
        <f>IF(ISNUMBER(tblSteps[[#This Row],[開始時刻]]),MOD(tblSteps[[#This Row],[開始時刻]],1),DefStart)</f>
        <v>0.375</v>
      </c>
      <c r="AB19" s="62">
        <f>IF(ISNUMBER(tblSteps[[#This Row],[終了時刻]]),MOD(tblSteps[[#This Row],[終了時刻]],1),DefEnd)</f>
        <v>0.75</v>
      </c>
      <c r="AC19" s="58">
        <f>IF(tblSteps[[#This Row],[日付OK]]=1,ROUND((INT(tblSteps[[#This Row],[計画開始日]])+tblSteps[[#This Row],[開始時刻値]])*1440,0),"")</f>
        <v>66692700</v>
      </c>
      <c r="AD19" s="58">
        <f>IF(tblSteps[[#This Row],[日付OK]]=1,ROUND((INT(tblSteps[[#This Row],[計画終了日]])+tblSteps[[#This Row],[終了時刻値]])*1440,0),"")</f>
        <v>66704760</v>
      </c>
      <c r="AE19" s="58">
        <f>IF(tblSteps[[#This Row],[日付OK]]=0,0,IF(tblSteps[[#This Row],[終了分]]&gt;tblSteps[[#This Row],[開始分]],1,0))</f>
        <v>1</v>
      </c>
      <c r="AF19" s="58">
        <f>IF(ISNUMBER(tblSteps[[#This Row],[進捗率]]),MAX(0,MIN(1,tblSteps[[#This Row],[進捗率]])),0)</f>
        <v>0</v>
      </c>
      <c r="AG19" s="58">
        <f>IF(AND(ISNUMBER(tblSteps[[#This Row],[計画工数（時間）]]),N(tblSteps[[#This Row],[計画工数（時間）]])&gt;0),1,0)</f>
        <v>1</v>
      </c>
      <c r="AH19" s="58">
        <f>tblSteps[[#This Row],[進捗値]]*N(tblSteps[[#This Row],[計画工数（時間）]])</f>
        <v>0</v>
      </c>
      <c r="AI19" s="58">
        <f>IF(ISNUMBER(tblSteps[[#This Row],[完了見込日]]),1,0)</f>
        <v>0</v>
      </c>
      <c r="AJ19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46322.0</v>
      </c>
      <c r="AK19" s="58">
        <f>IF(AND(tblSteps[[#This Row],[集計対象]]=1,tblSteps[[#This Row],[完了]]=0,tblSteps[[#This Row],[日付OK]]=1),MAX(0,RefDate-INT(tblSteps[[#This Row],[計画終了日]])),0)</f>
        <v>0</v>
      </c>
      <c r="AL1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9" s="58">
        <f>IF(AND(tblSteps[[#This Row],[集計対象]]=1,tblSteps[[#This Row],[完了]]=0,tblSteps[[#This Row],[時刻OK]]=1,tblSteps[[#This Row],[担当]]&lt;&gt;""),1,0)</f>
        <v>1</v>
      </c>
      <c r="AP1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9" s="58">
        <f>IF(tblSteps[[#This Row],[日付OK]]=1,INT(tblSteps[[#This Row],[計画開始日]]),1)</f>
        <v>46314</v>
      </c>
      <c r="AT19" s="58">
        <f>IF(tblSteps[[#This Row],[日付OK]]=1,INT(tblSteps[[#This Row],[計画終了日]]),0)</f>
        <v>46322</v>
      </c>
      <c r="AU19" s="58">
        <f>IF(ISNUMBER(tblSteps[[#This Row],[実績開始日]]),INT(tblSteps[[#This Row],[実績開始日]]),1)</f>
        <v>1</v>
      </c>
      <c r="AV1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9" s="58">
        <f>IF(AND(tblSteps[[#This Row],[集計対象]]=1,tblSteps[[#This Row],[完了]]=0,tblSteps[[#This Row],[日付OK]]=1),INT(tblSteps[[#This Row],[計画終了日]])+1,1)</f>
        <v>46323</v>
      </c>
      <c r="AX1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9" s="58">
        <f>IF(ISNUMBER(tblSteps[[#This Row],[顧客納期]]),INT(tblSteps[[#This Row],[顧客納期]]),0)</f>
        <v>46325</v>
      </c>
      <c r="AZ19" s="58">
        <f>IF(tblSteps[[#This Row],[日付OK]]=0,"",MIN(tblSteps[[#This Row],[計開]],IF(ISNUMBER(tblSteps[[#This Row],[実績開始日]]),tblSteps[[#This Row],[実開]],tblSteps[[#This Row],[計開]])))</f>
        <v>46314</v>
      </c>
      <c r="BA19" s="58">
        <f>IF(tblSteps[[#This Row],[日付OK]]=0,"",MAX(tblSteps[[#This Row],[計終]],tblSteps[[#This Row],[実終]],tblSteps[[#This Row],[遅終]]))</f>
        <v>46322</v>
      </c>
      <c r="BB1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9" s="58">
        <f>IF(AND(tblSteps[[#This Row],[集計対象]]=1,tblSteps[[#This Row],[状態]]="未着手"),IF(tblSteps[[#This Row],[日付OK]]=1,INT(tblSteps[[#This Row],[計画開始日]]),99999)*100000+N(tblSteps[[#This Row],[ID番号]]),"")</f>
        <v>4631400014</v>
      </c>
      <c r="BD1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44631400014</v>
      </c>
      <c r="BE1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1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9" s="58">
        <f>IF(tblSteps[[#This Row],[日別対象]]=1,COUNTIFS(tblSteps[日別対象],1,tblSteps[並びキー],"&lt;"&amp;tblSteps[[#This Row],[並びキー]])+1,"")</f>
        <v>17</v>
      </c>
      <c r="BH1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1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9" s="58">
        <f>IF(tblSteps[[#This Row],[週別対象]]=1,COUNTIFS(tblSteps[週別対象],1,tblSteps[並びキー],"&lt;"&amp;tblSteps[[#This Row],[並びキー]])+1,"")</f>
        <v>20</v>
      </c>
      <c r="BK1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9" s="58">
        <f>IFERROR(MATCH(tblSteps[[#This Row],[担当]],lst_Staff,0),99)*1000000000000+N(tblSteps[[#This Row],[開始分]])*10000+MOD(N(tblSteps[[#This Row],[ID番号]]),10000)</f>
        <v>3666927000014</v>
      </c>
      <c r="BM19" s="58" t="str">
        <f>IF(tblSteps[[#This Row],[時間割対象]]=1,COUNTIFS(tblSteps[時間割対象],1,tblSteps[時間割キー],"&lt;"&amp;tblSteps[[#This Row],[時間割キー]])+1,"")</f>
        <v/>
      </c>
      <c r="BN19" s="58">
        <f>IF(AND(tblSteps[[#This Row],[表示可能]]=1,tblSteps[[#This Row],[完了]]=0,tblSteps[[#This Row],[重要度]]&gt;0),1,0)</f>
        <v>0</v>
      </c>
      <c r="BO19" s="58">
        <f>tblSteps[[#This Row],[重要度]]*10000000000+IF(tblSteps[[#This Row],[日付OK]]=1,INT(tblSteps[[#This Row],[計画終了日]]),99999)*100000+N(tblSteps[[#This Row],[ID番号]])</f>
        <v>4632200014</v>
      </c>
      <c r="BP19" s="58" t="str">
        <f>IF(tblSteps[[#This Row],[ホーム注意対象]]=1,COUNTIFS(tblSteps[ホーム注意対象],1,tblSteps[ホーム注意キー],"&lt;"&amp;tblSteps[[#This Row],[ホーム注意キー]])+1,"")</f>
        <v/>
      </c>
      <c r="BQ19" s="58">
        <f>IF(tblSteps[[#This Row],[完了遅延日数]]&gt;0,1,0)</f>
        <v>0</v>
      </c>
      <c r="BR19" s="58" t="str">
        <f>IF(tblSteps[[#This Row],[完了遅延対象]]=1,COUNTIFS(tblSteps[完了遅延対象],1,tblSteps[並びキー],"&lt;"&amp;tblSteps[[#This Row],[並びキー]])+1,"")</f>
        <v/>
      </c>
    </row>
    <row r="20">
      <c r="A20" s="48" t="inlineStr">
        <is>
          <t>S0015</t>
        </is>
      </c>
      <c r="B20" s="48" t="inlineStr">
        <is>
          <t>A0021</t>
        </is>
      </c>
      <c r="C20" s="52" t="str">
        <f>IF(tblSteps[[#This Row],[案件ID]]="","",IF(tblSteps[[#This Row],[案件行]]="","（未登録の案件ID）",INDEX(tblProjects[案件名],tblSteps[[#This Row],[案件行]])&amp;""))</f>
        <v>自動倉庫コンベヤ増設工事</v>
      </c>
      <c r="D20" s="49" t="inlineStr">
        <is>
          <t>試運転調整</t>
        </is>
      </c>
      <c r="E20" s="50" t="inlineStr">
        <is>
          <t>高橋</t>
        </is>
      </c>
      <c r="F20" s="50" t="inlineStr">
        <is>
          <t>未着手</t>
        </is>
      </c>
      <c r="G20" s="59" t="n">
        <v>0</v>
      </c>
      <c r="H20" s="51" t="n">
        <v>46323</v>
      </c>
      <c r="I20" s="51" t="n">
        <v>46328</v>
      </c>
      <c r="J20" s="51" t="n"/>
      <c r="K20" s="51" t="n"/>
      <c r="L20" s="51" t="n"/>
      <c r="M2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顧客納期より遅い見込</v>
      </c>
      <c r="N20" s="57">
        <f>IF(tblSteps[[#This Row],[案件行]]="","",IF(ISNUMBER(INDEX(tblProjects[顧客納期],tblSteps[[#This Row],[案件行]])),INDEX(tblProjects[顧客納期],tblSteps[[#This Row],[案件行]]),""))</f>
        <v>46325.0</v>
      </c>
      <c r="O20" s="60" t="n"/>
      <c r="P20" s="60" t="n"/>
      <c r="Q20" s="61" t="n">
        <v>32</v>
      </c>
      <c r="R20" s="48" t="inlineStr">
        <is>
          <t>S0014</t>
        </is>
      </c>
      <c r="S20" s="49" t="inlineStr">
        <is>
          <t>予定のままだと顧客納期を超える</t>
        </is>
      </c>
      <c r="T2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0" s="58">
        <f>IFERROR(VALUE(MID(tblSteps[[#This Row],[工程ID]],2,20)),"")</f>
        <v>15</v>
      </c>
      <c r="V20" s="58">
        <f>IF(tblSteps[[#This Row],[案件ID]]="","",IFERROR(MATCH(tblSteps[[#This Row],[案件ID]],tblProjects[案件ID],0),""))</f>
        <v>3</v>
      </c>
      <c r="W20" s="58">
        <f>IF(AND(tblSteps[[#This Row],[工程ID]]&lt;&gt;"",tblSteps[[#This Row],[状態]]&lt;&gt;"取消"),1,0)</f>
        <v>1</v>
      </c>
      <c r="X20" s="58">
        <f>IF(AND(tblSteps[[#This Row],[工程ID]]&lt;&gt;"",tblSteps[[#This Row],[案件行]]&lt;&gt;"",tblSteps[[#This Row],[状態]]&lt;&gt;"取消"),1,0)</f>
        <v>1</v>
      </c>
      <c r="Y20" s="58">
        <f>IF(tblSteps[[#This Row],[状態]]="完了",1,0)</f>
        <v>0</v>
      </c>
      <c r="Z20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0" s="62">
        <f>IF(ISNUMBER(tblSteps[[#This Row],[開始時刻]]),MOD(tblSteps[[#This Row],[開始時刻]],1),DefStart)</f>
        <v>0.375</v>
      </c>
      <c r="AB20" s="62">
        <f>IF(ISNUMBER(tblSteps[[#This Row],[終了時刻]]),MOD(tblSteps[[#This Row],[終了時刻]],1),DefEnd)</f>
        <v>0.75</v>
      </c>
      <c r="AC20" s="58">
        <f>IF(tblSteps[[#This Row],[日付OK]]=1,ROUND((INT(tblSteps[[#This Row],[計画開始日]])+tblSteps[[#This Row],[開始時刻値]])*1440,0),"")</f>
        <v>66705660</v>
      </c>
      <c r="AD20" s="58">
        <f>IF(tblSteps[[#This Row],[日付OK]]=1,ROUND((INT(tblSteps[[#This Row],[計画終了日]])+tblSteps[[#This Row],[終了時刻値]])*1440,0),"")</f>
        <v>66713400</v>
      </c>
      <c r="AE20" s="58">
        <f>IF(tblSteps[[#This Row],[日付OK]]=0,0,IF(tblSteps[[#This Row],[終了分]]&gt;tblSteps[[#This Row],[開始分]],1,0))</f>
        <v>1</v>
      </c>
      <c r="AF20" s="58">
        <f>IF(ISNUMBER(tblSteps[[#This Row],[進捗率]]),MAX(0,MIN(1,tblSteps[[#This Row],[進捗率]])),0)</f>
        <v>0</v>
      </c>
      <c r="AG20" s="58">
        <f>IF(AND(ISNUMBER(tblSteps[[#This Row],[計画工数（時間）]]),N(tblSteps[[#This Row],[計画工数（時間）]])&gt;0),1,0)</f>
        <v>1</v>
      </c>
      <c r="AH20" s="58">
        <f>tblSteps[[#This Row],[進捗値]]*N(tblSteps[[#This Row],[計画工数（時間）]])</f>
        <v>0</v>
      </c>
      <c r="AI20" s="58">
        <f>IF(ISNUMBER(tblSteps[[#This Row],[完了見込日]]),1,0)</f>
        <v>0</v>
      </c>
      <c r="AJ20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46328.0</v>
      </c>
      <c r="AK20" s="58">
        <f>IF(AND(tblSteps[[#This Row],[集計対象]]=1,tblSteps[[#This Row],[完了]]=0,tblSteps[[#This Row],[日付OK]]=1),MAX(0,RefDate-INT(tblSteps[[#This Row],[計画終了日]])),0)</f>
        <v>0</v>
      </c>
      <c r="AL2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1</v>
      </c>
      <c r="AO20" s="58">
        <f>IF(AND(tblSteps[[#This Row],[集計対象]]=1,tblSteps[[#This Row],[完了]]=0,tblSteps[[#This Row],[時刻OK]]=1,tblSteps[[#This Row],[担当]]&lt;&gt;""),1,0)</f>
        <v>1</v>
      </c>
      <c r="AP2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納期遅れ見込</v>
      </c>
      <c r="AR2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3</v>
      </c>
      <c r="AS20" s="58">
        <f>IF(tblSteps[[#This Row],[日付OK]]=1,INT(tblSteps[[#This Row],[計画開始日]]),1)</f>
        <v>46323</v>
      </c>
      <c r="AT20" s="58">
        <f>IF(tblSteps[[#This Row],[日付OK]]=1,INT(tblSteps[[#This Row],[計画終了日]]),0)</f>
        <v>46328</v>
      </c>
      <c r="AU20" s="58">
        <f>IF(ISNUMBER(tblSteps[[#This Row],[実績開始日]]),INT(tblSteps[[#This Row],[実績開始日]]),1)</f>
        <v>1</v>
      </c>
      <c r="AV2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0" s="58">
        <f>IF(AND(tblSteps[[#This Row],[集計対象]]=1,tblSteps[[#This Row],[完了]]=0,tblSteps[[#This Row],[日付OK]]=1),INT(tblSteps[[#This Row],[計画終了日]])+1,1)</f>
        <v>46329</v>
      </c>
      <c r="AX2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0" s="58">
        <f>IF(ISNUMBER(tblSteps[[#This Row],[顧客納期]]),INT(tblSteps[[#This Row],[顧客納期]]),0)</f>
        <v>46325</v>
      </c>
      <c r="AZ20" s="58">
        <f>IF(tblSteps[[#This Row],[日付OK]]=0,"",MIN(tblSteps[[#This Row],[計開]],IF(ISNUMBER(tblSteps[[#This Row],[実績開始日]]),tblSteps[[#This Row],[実開]],tblSteps[[#This Row],[計開]])))</f>
        <v>46323</v>
      </c>
      <c r="BA20" s="58">
        <f>IF(tblSteps[[#This Row],[日付OK]]=0,"",MAX(tblSteps[[#This Row],[計終]],tblSteps[[#This Row],[実終]],tblSteps[[#This Row],[遅終]]))</f>
        <v>46328</v>
      </c>
      <c r="BB2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0" s="58">
        <f>IF(AND(tblSteps[[#This Row],[集計対象]]=1,tblSteps[[#This Row],[状態]]="未着手"),IF(tblSteps[[#This Row],[日付OK]]=1,INT(tblSteps[[#This Row],[計画開始日]]),99999)*100000+N(tblSteps[[#This Row],[ID番号]]),"")</f>
        <v>4632300015</v>
      </c>
      <c r="BD2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44632300015</v>
      </c>
      <c r="BE2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2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0" s="58">
        <f>IF(tblSteps[[#This Row],[日別対象]]=1,COUNTIFS(tblSteps[日別対象],1,tblSteps[並びキー],"&lt;"&amp;tblSteps[[#This Row],[並びキー]])+1,"")</f>
        <v>18</v>
      </c>
      <c r="BH2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0" s="58">
        <f>IF(tblSteps[[#This Row],[週別対象]]=1,COUNTIFS(tblSteps[週別対象],1,tblSteps[並びキー],"&lt;"&amp;tblSteps[[#This Row],[並びキー]])+1,"")</f>
        <v>21</v>
      </c>
      <c r="BK2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0" s="58">
        <f>IFERROR(MATCH(tblSteps[[#This Row],[担当]],lst_Staff,0),99)*1000000000000+N(tblSteps[[#This Row],[開始分]])*10000+MOD(N(tblSteps[[#This Row],[ID番号]]),10000)</f>
        <v>2667056600015</v>
      </c>
      <c r="BM20" s="58" t="str">
        <f>IF(tblSteps[[#This Row],[時間割対象]]=1,COUNTIFS(tblSteps[時間割対象],1,tblSteps[時間割キー],"&lt;"&amp;tblSteps[[#This Row],[時間割キー]])+1,"")</f>
        <v/>
      </c>
      <c r="BN20" s="58">
        <f>IF(AND(tblSteps[[#This Row],[表示可能]]=1,tblSteps[[#This Row],[完了]]=0,tblSteps[[#This Row],[重要度]]&gt;0),1,0)</f>
        <v>1</v>
      </c>
      <c r="BO20" s="58">
        <f>tblSteps[[#This Row],[重要度]]*10000000000+IF(tblSteps[[#This Row],[日付OK]]=1,INT(tblSteps[[#This Row],[計画終了日]]),99999)*100000+N(tblSteps[[#This Row],[ID番号]])</f>
        <v>34632800015</v>
      </c>
      <c r="BP20" s="58">
        <f>IF(tblSteps[[#This Row],[ホーム注意対象]]=1,COUNTIFS(tblSteps[ホーム注意対象],1,tblSteps[ホーム注意キー],"&lt;"&amp;tblSteps[[#This Row],[ホーム注意キー]])+1,"")</f>
        <v>4</v>
      </c>
      <c r="BQ20" s="58">
        <f>IF(tblSteps[[#This Row],[完了遅延日数]]&gt;0,1,0)</f>
        <v>0</v>
      </c>
      <c r="BR20" s="58" t="str">
        <f>IF(tblSteps[[#This Row],[完了遅延対象]]=1,COUNTIFS(tblSteps[完了遅延対象],1,tblSteps[並びキー],"&lt;"&amp;tblSteps[[#This Row],[並びキー]])+1,"")</f>
        <v/>
      </c>
    </row>
    <row r="21">
      <c r="A21" s="48" t="inlineStr">
        <is>
          <t>S0016</t>
        </is>
      </c>
      <c r="B21" s="48" t="inlineStr">
        <is>
          <t>A0022</t>
        </is>
      </c>
      <c r="C21" s="52" t="str">
        <f>IF(tblSteps[[#This Row],[案件ID]]="","",IF(tblSteps[[#This Row],[案件行]]="","（未登録の案件ID）",INDEX(tblProjects[案件名],tblSteps[[#This Row],[案件行]])&amp;""))</f>
        <v>制御盤更新工事</v>
      </c>
      <c r="D21" s="49" t="inlineStr">
        <is>
          <t>仕様確認</t>
        </is>
      </c>
      <c r="E21" s="50" t="inlineStr">
        <is>
          <t>田中</t>
        </is>
      </c>
      <c r="F21" s="50" t="inlineStr">
        <is>
          <t>完了</t>
        </is>
      </c>
      <c r="G21" s="59" t="n">
        <v>1</v>
      </c>
      <c r="H21" s="51" t="n">
        <v>46289</v>
      </c>
      <c r="I21" s="51" t="n">
        <v>46296</v>
      </c>
      <c r="J21" s="51" t="n"/>
      <c r="K21" s="51" t="n">
        <v>46289</v>
      </c>
      <c r="L21" s="51" t="n">
        <v>46297</v>
      </c>
      <c r="M2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完了遅延（実績1日）</v>
      </c>
      <c r="N21" s="57">
        <f>IF(tblSteps[[#This Row],[案件行]]="","",IF(ISNUMBER(INDEX(tblProjects[顧客納期],tblSteps[[#This Row],[案件行]])),INDEX(tblProjects[顧客納期],tblSteps[[#This Row],[案件行]]),""))</f>
        <v>46346.0</v>
      </c>
      <c r="O21" s="60" t="n"/>
      <c r="P21" s="60" t="n"/>
      <c r="Q21" s="61" t="n">
        <v>20</v>
      </c>
      <c r="R21" s="48" t="n"/>
      <c r="S21" s="49" t="n"/>
      <c r="T2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1" s="58">
        <f>IFERROR(VALUE(MID(tblSteps[[#This Row],[工程ID]],2,20)),"")</f>
        <v>16</v>
      </c>
      <c r="V21" s="58">
        <f>IF(tblSteps[[#This Row],[案件ID]]="","",IFERROR(MATCH(tblSteps[[#This Row],[案件ID]],tblProjects[案件ID],0),""))</f>
        <v>4</v>
      </c>
      <c r="W21" s="58">
        <f>IF(AND(tblSteps[[#This Row],[工程ID]]&lt;&gt;"",tblSteps[[#This Row],[状態]]&lt;&gt;"取消"),1,0)</f>
        <v>1</v>
      </c>
      <c r="X21" s="58">
        <f>IF(AND(tblSteps[[#This Row],[工程ID]]&lt;&gt;"",tblSteps[[#This Row],[案件行]]&lt;&gt;"",tblSteps[[#This Row],[状態]]&lt;&gt;"取消"),1,0)</f>
        <v>1</v>
      </c>
      <c r="Y21" s="58">
        <f>IF(tblSteps[[#This Row],[状態]]="完了",1,0)</f>
        <v>1</v>
      </c>
      <c r="Z21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1" s="62">
        <f>IF(ISNUMBER(tblSteps[[#This Row],[開始時刻]]),MOD(tblSteps[[#This Row],[開始時刻]],1),DefStart)</f>
        <v>0.375</v>
      </c>
      <c r="AB21" s="62">
        <f>IF(ISNUMBER(tblSteps[[#This Row],[終了時刻]]),MOD(tblSteps[[#This Row],[終了時刻]],1),DefEnd)</f>
        <v>0.75</v>
      </c>
      <c r="AC21" s="58">
        <f>IF(tblSteps[[#This Row],[日付OK]]=1,ROUND((INT(tblSteps[[#This Row],[計画開始日]])+tblSteps[[#This Row],[開始時刻値]])*1440,0),"")</f>
        <v>66656700</v>
      </c>
      <c r="AD21" s="58">
        <f>IF(tblSteps[[#This Row],[日付OK]]=1,ROUND((INT(tblSteps[[#This Row],[計画終了日]])+tblSteps[[#This Row],[終了時刻値]])*1440,0),"")</f>
        <v>66667320</v>
      </c>
      <c r="AE21" s="58">
        <f>IF(tblSteps[[#This Row],[日付OK]]=0,0,IF(tblSteps[[#This Row],[終了分]]&gt;tblSteps[[#This Row],[開始分]],1,0))</f>
        <v>1</v>
      </c>
      <c r="AF21" s="58">
        <f>IF(ISNUMBER(tblSteps[[#This Row],[進捗率]]),MAX(0,MIN(1,tblSteps[[#This Row],[進捗率]])),0)</f>
        <v>1</v>
      </c>
      <c r="AG21" s="58">
        <f>IF(AND(ISNUMBER(tblSteps[[#This Row],[計画工数（時間）]]),N(tblSteps[[#This Row],[計画工数（時間）]])&gt;0),1,0)</f>
        <v>1</v>
      </c>
      <c r="AH21" s="58">
        <f>tblSteps[[#This Row],[進捗値]]*N(tblSteps[[#This Row],[計画工数（時間）]])</f>
        <v>20</v>
      </c>
      <c r="AI21" s="58">
        <f>IF(ISNUMBER(tblSteps[[#This Row],[完了見込日]]),1,0)</f>
        <v>0</v>
      </c>
      <c r="AJ21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46297.0</v>
      </c>
      <c r="AK21" s="58">
        <f>IF(AND(tblSteps[[#This Row],[集計対象]]=1,tblSteps[[#This Row],[完了]]=0,tblSteps[[#This Row],[日付OK]]=1),MAX(0,RefDate-INT(tblSteps[[#This Row],[計画終了日]])),0)</f>
        <v>0</v>
      </c>
      <c r="AL2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1</v>
      </c>
      <c r="AN2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1" s="58">
        <f>IF(AND(tblSteps[[#This Row],[集計対象]]=1,tblSteps[[#This Row],[完了]]=0,tblSteps[[#This Row],[時刻OK]]=1,tblSteps[[#This Row],[担当]]&lt;&gt;""),1,0)</f>
        <v>0</v>
      </c>
      <c r="AP2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完了遅延1日</v>
      </c>
      <c r="AR2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1" s="58">
        <f>IF(tblSteps[[#This Row],[日付OK]]=1,INT(tblSteps[[#This Row],[計画開始日]]),1)</f>
        <v>46289</v>
      </c>
      <c r="AT21" s="58">
        <f>IF(tblSteps[[#This Row],[日付OK]]=1,INT(tblSteps[[#This Row],[計画終了日]]),0)</f>
        <v>46296</v>
      </c>
      <c r="AU21" s="58">
        <f>IF(ISNUMBER(tblSteps[[#This Row],[実績開始日]]),INT(tblSteps[[#This Row],[実績開始日]]),1)</f>
        <v>46289</v>
      </c>
      <c r="AV2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46297</v>
      </c>
      <c r="AW21" s="58">
        <f>IF(AND(tblSteps[[#This Row],[集計対象]]=1,tblSteps[[#This Row],[完了]]=0,tblSteps[[#This Row],[日付OK]]=1),INT(tblSteps[[#This Row],[計画終了日]])+1,1)</f>
        <v>1</v>
      </c>
      <c r="AX2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1" s="58">
        <f>IF(ISNUMBER(tblSteps[[#This Row],[顧客納期]]),INT(tblSteps[[#This Row],[顧客納期]]),0)</f>
        <v>46346</v>
      </c>
      <c r="AZ21" s="58">
        <f>IF(tblSteps[[#This Row],[日付OK]]=0,"",MIN(tblSteps[[#This Row],[計開]],IF(ISNUMBER(tblSteps[[#This Row],[実績開始日]]),tblSteps[[#This Row],[実開]],tblSteps[[#This Row],[計開]])))</f>
        <v>46289</v>
      </c>
      <c r="BA21" s="58">
        <f>IF(tblSteps[[#This Row],[日付OK]]=0,"",MAX(tblSteps[[#This Row],[計終]],tblSteps[[#This Row],[実終]],tblSteps[[#This Row],[遅終]]))</f>
        <v>46297</v>
      </c>
      <c r="BB2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54628900016</v>
      </c>
      <c r="BE2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2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1" s="58">
        <f>IF(tblSteps[[#This Row],[日別対象]]=1,COUNTIFS(tblSteps[日別対象],1,tblSteps[並びキー],"&lt;"&amp;tblSteps[[#This Row],[並びキー]])+1,"")</f>
        <v>19</v>
      </c>
      <c r="BH2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1" s="58">
        <f>IF(tblSteps[[#This Row],[週別対象]]=1,COUNTIFS(tblSteps[週別対象],1,tblSteps[並びキー],"&lt;"&amp;tblSteps[[#This Row],[並びキー]])+1,"")</f>
        <v>22</v>
      </c>
      <c r="BK2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1" s="58">
        <f>IFERROR(MATCH(tblSteps[[#This Row],[担当]],lst_Staff,0),99)*1000000000000+N(tblSteps[[#This Row],[開始分]])*10000+MOD(N(tblSteps[[#This Row],[ID番号]]),10000)</f>
        <v>1666567000016</v>
      </c>
      <c r="BM21" s="58" t="str">
        <f>IF(tblSteps[[#This Row],[時間割対象]]=1,COUNTIFS(tblSteps[時間割対象],1,tblSteps[時間割キー],"&lt;"&amp;tblSteps[[#This Row],[時間割キー]])+1,"")</f>
        <v/>
      </c>
      <c r="BN21" s="58">
        <f>IF(AND(tblSteps[[#This Row],[表示可能]]=1,tblSteps[[#This Row],[完了]]=0,tblSteps[[#This Row],[重要度]]&gt;0),1,0)</f>
        <v>0</v>
      </c>
      <c r="BO21" s="58">
        <f>tblSteps[[#This Row],[重要度]]*10000000000+IF(tblSteps[[#This Row],[日付OK]]=1,INT(tblSteps[[#This Row],[計画終了日]]),99999)*100000+N(tblSteps[[#This Row],[ID番号]])</f>
        <v>4629600016</v>
      </c>
      <c r="BP21" s="58" t="str">
        <f>IF(tblSteps[[#This Row],[ホーム注意対象]]=1,COUNTIFS(tblSteps[ホーム注意対象],1,tblSteps[ホーム注意キー],"&lt;"&amp;tblSteps[[#This Row],[ホーム注意キー]])+1,"")</f>
        <v/>
      </c>
      <c r="BQ21" s="58">
        <f>IF(tblSteps[[#This Row],[完了遅延日数]]&gt;0,1,0)</f>
        <v>1</v>
      </c>
      <c r="BR21" s="58">
        <f>IF(tblSteps[[#This Row],[完了遅延対象]]=1,COUNTIFS(tblSteps[完了遅延対象],1,tblSteps[並びキー],"&lt;"&amp;tblSteps[[#This Row],[並びキー]])+1,"")</f>
        <v>2</v>
      </c>
    </row>
    <row r="22">
      <c r="A22" s="48" t="inlineStr">
        <is>
          <t>S0017</t>
        </is>
      </c>
      <c r="B22" s="48" t="inlineStr">
        <is>
          <t>A0022</t>
        </is>
      </c>
      <c r="C22" s="52" t="str">
        <f>IF(tblSteps[[#This Row],[案件ID]]="","",IF(tblSteps[[#This Row],[案件行]]="","（未登録の案件ID）",INDEX(tblProjects[案件名],tblSteps[[#This Row],[案件行]])&amp;""))</f>
        <v>制御盤更新工事</v>
      </c>
      <c r="D22" s="49" t="inlineStr">
        <is>
          <t>制御盤製作</t>
        </is>
      </c>
      <c r="E22" s="50" t="inlineStr">
        <is>
          <t>協力会社B</t>
        </is>
      </c>
      <c r="F22" s="50" t="inlineStr">
        <is>
          <t>進行中</t>
        </is>
      </c>
      <c r="G22" s="59" t="n">
        <v>0.2</v>
      </c>
      <c r="H22" s="51" t="n">
        <v>46297</v>
      </c>
      <c r="I22" s="51" t="n">
        <v>46325</v>
      </c>
      <c r="J22" s="51" t="n">
        <v>46332</v>
      </c>
      <c r="K22" s="51" t="n">
        <v>46297</v>
      </c>
      <c r="L22" s="51" t="n"/>
      <c r="M2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見込が計画より7日遅い</v>
      </c>
      <c r="N22" s="57">
        <f>IF(tblSteps[[#This Row],[案件行]]="","",IF(ISNUMBER(INDEX(tblProjects[顧客納期],tblSteps[[#This Row],[案件行]])),INDEX(tblProjects[顧客納期],tblSteps[[#This Row],[案件行]]),""))</f>
        <v>46346.0</v>
      </c>
      <c r="O22" s="60" t="n"/>
      <c r="P22" s="60" t="n"/>
      <c r="Q22" s="61" t="n">
        <v>160</v>
      </c>
      <c r="R22" s="48" t="inlineStr">
        <is>
          <t>S0016</t>
        </is>
      </c>
      <c r="S22" s="49" t="inlineStr">
        <is>
          <t>部品の納期遅れ</t>
        </is>
      </c>
      <c r="T2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2" s="58">
        <f>IFERROR(VALUE(MID(tblSteps[[#This Row],[工程ID]],2,20)),"")</f>
        <v>17</v>
      </c>
      <c r="V22" s="58">
        <f>IF(tblSteps[[#This Row],[案件ID]]="","",IFERROR(MATCH(tblSteps[[#This Row],[案件ID]],tblProjects[案件ID],0),""))</f>
        <v>4</v>
      </c>
      <c r="W22" s="58">
        <f>IF(AND(tblSteps[[#This Row],[工程ID]]&lt;&gt;"",tblSteps[[#This Row],[状態]]&lt;&gt;"取消"),1,0)</f>
        <v>1</v>
      </c>
      <c r="X22" s="58">
        <f>IF(AND(tblSteps[[#This Row],[工程ID]]&lt;&gt;"",tblSteps[[#This Row],[案件行]]&lt;&gt;"",tblSteps[[#This Row],[状態]]&lt;&gt;"取消"),1,0)</f>
        <v>1</v>
      </c>
      <c r="Y22" s="58">
        <f>IF(tblSteps[[#This Row],[状態]]="完了",1,0)</f>
        <v>0</v>
      </c>
      <c r="Z22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2" s="62">
        <f>IF(ISNUMBER(tblSteps[[#This Row],[開始時刻]]),MOD(tblSteps[[#This Row],[開始時刻]],1),DefStart)</f>
        <v>0.375</v>
      </c>
      <c r="AB22" s="62">
        <f>IF(ISNUMBER(tblSteps[[#This Row],[終了時刻]]),MOD(tblSteps[[#This Row],[終了時刻]],1),DefEnd)</f>
        <v>0.75</v>
      </c>
      <c r="AC22" s="58">
        <f>IF(tblSteps[[#This Row],[日付OK]]=1,ROUND((INT(tblSteps[[#This Row],[計画開始日]])+tblSteps[[#This Row],[開始時刻値]])*1440,0),"")</f>
        <v>66668220</v>
      </c>
      <c r="AD22" s="58">
        <f>IF(tblSteps[[#This Row],[日付OK]]=1,ROUND((INT(tblSteps[[#This Row],[計画終了日]])+tblSteps[[#This Row],[終了時刻値]])*1440,0),"")</f>
        <v>66709080</v>
      </c>
      <c r="AE22" s="58">
        <f>IF(tblSteps[[#This Row],[日付OK]]=0,0,IF(tblSteps[[#This Row],[終了分]]&gt;tblSteps[[#This Row],[開始分]],1,0))</f>
        <v>1</v>
      </c>
      <c r="AF22" s="58">
        <f>IF(ISNUMBER(tblSteps[[#This Row],[進捗率]]),MAX(0,MIN(1,tblSteps[[#This Row],[進捗率]])),0)</f>
        <v>0.2</v>
      </c>
      <c r="AG22" s="58">
        <f>IF(AND(ISNUMBER(tblSteps[[#This Row],[計画工数（時間）]]),N(tblSteps[[#This Row],[計画工数（時間）]])&gt;0),1,0)</f>
        <v>1</v>
      </c>
      <c r="AH22" s="58">
        <f>tblSteps[[#This Row],[進捗値]]*N(tblSteps[[#This Row],[計画工数（時間）]])</f>
        <v>32</v>
      </c>
      <c r="AI22" s="58">
        <f>IF(ISNUMBER(tblSteps[[#This Row],[完了見込日]]),1,0)</f>
        <v>1</v>
      </c>
      <c r="AJ22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46332.0</v>
      </c>
      <c r="AK22" s="58">
        <f>IF(AND(tblSteps[[#This Row],[集計対象]]=1,tblSteps[[#This Row],[完了]]=0,tblSteps[[#This Row],[日付OK]]=1),MAX(0,RefDate-INT(tblSteps[[#This Row],[計画終了日]])),0)</f>
        <v>0</v>
      </c>
      <c r="AL2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7</v>
      </c>
      <c r="AM2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2" s="58">
        <f>IF(AND(tblSteps[[#This Row],[集計対象]]=1,tblSteps[[#This Row],[完了]]=0,tblSteps[[#This Row],[時刻OK]]=1,tblSteps[[#This Row],[担当]]&lt;&gt;""),1,0)</f>
        <v>1</v>
      </c>
      <c r="AP2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見込+7日</v>
      </c>
      <c r="AR2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4</v>
      </c>
      <c r="AS22" s="58">
        <f>IF(tblSteps[[#This Row],[日付OK]]=1,INT(tblSteps[[#This Row],[計画開始日]]),1)</f>
        <v>46297</v>
      </c>
      <c r="AT22" s="58">
        <f>IF(tblSteps[[#This Row],[日付OK]]=1,INT(tblSteps[[#This Row],[計画終了日]]),0)</f>
        <v>46325</v>
      </c>
      <c r="AU22" s="58">
        <f>IF(ISNUMBER(tblSteps[[#This Row],[実績開始日]]),INT(tblSteps[[#This Row],[実績開始日]]),1)</f>
        <v>46297</v>
      </c>
      <c r="AV2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46300</v>
      </c>
      <c r="AW22" s="58">
        <f>IF(AND(tblSteps[[#This Row],[集計対象]]=1,tblSteps[[#This Row],[完了]]=0,tblSteps[[#This Row],[日付OK]]=1),INT(tblSteps[[#This Row],[計画終了日]])+1,1)</f>
        <v>46326</v>
      </c>
      <c r="AX2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46332</v>
      </c>
      <c r="AY22" s="58">
        <f>IF(ISNUMBER(tblSteps[[#This Row],[顧客納期]]),INT(tblSteps[[#This Row],[顧客納期]]),0)</f>
        <v>46346</v>
      </c>
      <c r="AZ22" s="58">
        <f>IF(tblSteps[[#This Row],[日付OK]]=0,"",MIN(tblSteps[[#This Row],[計開]],IF(ISNUMBER(tblSteps[[#This Row],[実績開始日]]),tblSteps[[#This Row],[実開]],tblSteps[[#This Row],[計開]])))</f>
        <v>46297</v>
      </c>
      <c r="BA22" s="58">
        <f>IF(tblSteps[[#This Row],[日付OK]]=0,"",MAX(tblSteps[[#This Row],[計終]],tblSteps[[#This Row],[実終]],tblSteps[[#This Row],[遅終]]))</f>
        <v>46332</v>
      </c>
      <c r="BB22" s="58">
        <f>IF(AND(tblSteps[[#This Row],[集計対象]]=1,tblSteps[[#This Row],[状態]]="進行中"),IF(tblSteps[[#This Row],[日付OK]]=1,INT(tblSteps[[#This Row],[計画開始日]]),99999)*100000+N(tblSteps[[#This Row],[ID番号]]),"")</f>
        <v>4629700017</v>
      </c>
      <c r="BC2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54629700017</v>
      </c>
      <c r="BE2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2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2" s="58">
        <f>IF(tblSteps[[#This Row],[日別対象]]=1,COUNTIFS(tblSteps[日別対象],1,tblSteps[並びキー],"&lt;"&amp;tblSteps[[#This Row],[並びキー]])+1,"")</f>
        <v>20</v>
      </c>
      <c r="BH2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2" s="58">
        <f>IF(tblSteps[[#This Row],[週別対象]]=1,COUNTIFS(tblSteps[週別対象],1,tblSteps[並びキー],"&lt;"&amp;tblSteps[[#This Row],[並びキー]])+1,"")</f>
        <v>23</v>
      </c>
      <c r="BK2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22" s="58">
        <f>IFERROR(MATCH(tblSteps[[#This Row],[担当]],lst_Staff,0),99)*1000000000000+N(tblSteps[[#This Row],[開始分]])*10000+MOD(N(tblSteps[[#This Row],[ID番号]]),10000)</f>
        <v>6666682200017</v>
      </c>
      <c r="BM22" s="58">
        <f>IF(tblSteps[[#This Row],[時間割対象]]=1,COUNTIFS(tblSteps[時間割対象],1,tblSteps[時間割キー],"&lt;"&amp;tblSteps[[#This Row],[時間割キー]])+1,"")</f>
        <v>9</v>
      </c>
      <c r="BN22" s="58">
        <f>IF(AND(tblSteps[[#This Row],[表示可能]]=1,tblSteps[[#This Row],[完了]]=0,tblSteps[[#This Row],[重要度]]&gt;0),1,0)</f>
        <v>1</v>
      </c>
      <c r="BO22" s="58">
        <f>tblSteps[[#This Row],[重要度]]*10000000000+IF(tblSteps[[#This Row],[日付OK]]=1,INT(tblSteps[[#This Row],[計画終了日]]),99999)*100000+N(tblSteps[[#This Row],[ID番号]])</f>
        <v>44632500017</v>
      </c>
      <c r="BP22" s="58">
        <f>IF(tblSteps[[#This Row],[ホーム注意対象]]=1,COUNTIFS(tblSteps[ホーム注意対象],1,tblSteps[ホーム注意キー],"&lt;"&amp;tblSteps[[#This Row],[ホーム注意キー]])+1,"")</f>
        <v>6</v>
      </c>
      <c r="BQ22" s="58">
        <f>IF(tblSteps[[#This Row],[完了遅延日数]]&gt;0,1,0)</f>
        <v>0</v>
      </c>
      <c r="BR22" s="58" t="str">
        <f>IF(tblSteps[[#This Row],[完了遅延対象]]=1,COUNTIFS(tblSteps[完了遅延対象],1,tblSteps[並びキー],"&lt;"&amp;tblSteps[[#This Row],[並びキー]])+1,"")</f>
        <v/>
      </c>
    </row>
    <row r="23">
      <c r="A23" s="48" t="inlineStr">
        <is>
          <t>S0018</t>
        </is>
      </c>
      <c r="B23" s="48" t="inlineStr">
        <is>
          <t>A0022</t>
        </is>
      </c>
      <c r="C23" s="52" t="str">
        <f>IF(tblSteps[[#This Row],[案件ID]]="","",IF(tblSteps[[#This Row],[案件行]]="","（未登録の案件ID）",INDEX(tblProjects[案件名],tblSteps[[#This Row],[案件行]])&amp;""))</f>
        <v>制御盤更新工事</v>
      </c>
      <c r="D23" s="49" t="inlineStr">
        <is>
          <t>現地打合せ</t>
        </is>
      </c>
      <c r="E23" s="50" t="inlineStr">
        <is>
          <t>田中</t>
        </is>
      </c>
      <c r="F23" s="50" t="inlineStr">
        <is>
          <t>未着手</t>
        </is>
      </c>
      <c r="G23" s="59" t="n">
        <v>0</v>
      </c>
      <c r="H23" s="51" t="n">
        <v>46300</v>
      </c>
      <c r="I23" s="51" t="n">
        <v>46300</v>
      </c>
      <c r="J23" s="51" t="n"/>
      <c r="K23" s="51" t="n"/>
      <c r="L23" s="51" t="n"/>
      <c r="M2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3" s="57">
        <f>IF(tblSteps[[#This Row],[案件行]]="","",IF(ISNUMBER(INDEX(tblProjects[顧客納期],tblSteps[[#This Row],[案件行]])),INDEX(tblProjects[顧客納期],tblSteps[[#This Row],[案件行]]),""))</f>
        <v>46346.0</v>
      </c>
      <c r="O23" s="60" t="n">
        <v>0.4166666666666667</v>
      </c>
      <c r="P23" s="60" t="n">
        <v>0.4583333333333333</v>
      </c>
      <c r="Q23" s="61" t="n">
        <v>1</v>
      </c>
      <c r="R23" s="48" t="n"/>
      <c r="S23" s="49" t="n"/>
      <c r="T2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3" s="58">
        <f>IFERROR(VALUE(MID(tblSteps[[#This Row],[工程ID]],2,20)),"")</f>
        <v>18</v>
      </c>
      <c r="V23" s="58">
        <f>IF(tblSteps[[#This Row],[案件ID]]="","",IFERROR(MATCH(tblSteps[[#This Row],[案件ID]],tblProjects[案件ID],0),""))</f>
        <v>4</v>
      </c>
      <c r="W23" s="58">
        <f>IF(AND(tblSteps[[#This Row],[工程ID]]&lt;&gt;"",tblSteps[[#This Row],[状態]]&lt;&gt;"取消"),1,0)</f>
        <v>1</v>
      </c>
      <c r="X23" s="58">
        <f>IF(AND(tblSteps[[#This Row],[工程ID]]&lt;&gt;"",tblSteps[[#This Row],[案件行]]&lt;&gt;"",tblSteps[[#This Row],[状態]]&lt;&gt;"取消"),1,0)</f>
        <v>1</v>
      </c>
      <c r="Y23" s="58">
        <f>IF(tblSteps[[#This Row],[状態]]="完了",1,0)</f>
        <v>0</v>
      </c>
      <c r="Z23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3" s="62">
        <f>IF(ISNUMBER(tblSteps[[#This Row],[開始時刻]]),MOD(tblSteps[[#This Row],[開始時刻]],1),DefStart)</f>
        <v>0.4166666666666667</v>
      </c>
      <c r="AB23" s="62">
        <f>IF(ISNUMBER(tblSteps[[#This Row],[終了時刻]]),MOD(tblSteps[[#This Row],[終了時刻]],1),DefEnd)</f>
        <v>0.4583333333333333</v>
      </c>
      <c r="AC23" s="58">
        <f>IF(tblSteps[[#This Row],[日付OK]]=1,ROUND((INT(tblSteps[[#This Row],[計画開始日]])+tblSteps[[#This Row],[開始時刻値]])*1440,0),"")</f>
        <v>66672600</v>
      </c>
      <c r="AD23" s="58">
        <f>IF(tblSteps[[#This Row],[日付OK]]=1,ROUND((INT(tblSteps[[#This Row],[計画終了日]])+tblSteps[[#This Row],[終了時刻値]])*1440,0),"")</f>
        <v>66672660</v>
      </c>
      <c r="AE23" s="58">
        <f>IF(tblSteps[[#This Row],[日付OK]]=0,0,IF(tblSteps[[#This Row],[終了分]]&gt;tblSteps[[#This Row],[開始分]],1,0))</f>
        <v>1</v>
      </c>
      <c r="AF23" s="58">
        <f>IF(ISNUMBER(tblSteps[[#This Row],[進捗率]]),MAX(0,MIN(1,tblSteps[[#This Row],[進捗率]])),0)</f>
        <v>0</v>
      </c>
      <c r="AG23" s="58">
        <f>IF(AND(ISNUMBER(tblSteps[[#This Row],[計画工数（時間）]]),N(tblSteps[[#This Row],[計画工数（時間）]])&gt;0),1,0)</f>
        <v>1</v>
      </c>
      <c r="AH23" s="58">
        <f>tblSteps[[#This Row],[進捗値]]*N(tblSteps[[#This Row],[計画工数（時間）]])</f>
        <v>0</v>
      </c>
      <c r="AI23" s="58">
        <f>IF(ISNUMBER(tblSteps[[#This Row],[完了見込日]]),1,0)</f>
        <v>0</v>
      </c>
      <c r="AJ23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46300.0</v>
      </c>
      <c r="AK23" s="58">
        <f>IF(AND(tblSteps[[#This Row],[集計対象]]=1,tblSteps[[#This Row],[完了]]=0,tblSteps[[#This Row],[日付OK]]=1),MAX(0,RefDate-INT(tblSteps[[#This Row],[計画終了日]])),0)</f>
        <v>0</v>
      </c>
      <c r="AL2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3" s="58">
        <f>IF(AND(tblSteps[[#This Row],[集計対象]]=1,tblSteps[[#This Row],[完了]]=0,tblSteps[[#This Row],[時刻OK]]=1,tblSteps[[#This Row],[担当]]&lt;&gt;""),1,0)</f>
        <v>1</v>
      </c>
      <c r="AP2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3" s="58">
        <f>IF(tblSteps[[#This Row],[日付OK]]=1,INT(tblSteps[[#This Row],[計画開始日]]),1)</f>
        <v>46300</v>
      </c>
      <c r="AT23" s="58">
        <f>IF(tblSteps[[#This Row],[日付OK]]=1,INT(tblSteps[[#This Row],[計画終了日]]),0)</f>
        <v>46300</v>
      </c>
      <c r="AU23" s="58">
        <f>IF(ISNUMBER(tblSteps[[#This Row],[実績開始日]]),INT(tblSteps[[#This Row],[実績開始日]]),1)</f>
        <v>1</v>
      </c>
      <c r="AV2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3" s="58">
        <f>IF(AND(tblSteps[[#This Row],[集計対象]]=1,tblSteps[[#This Row],[完了]]=0,tblSteps[[#This Row],[日付OK]]=1),INT(tblSteps[[#This Row],[計画終了日]])+1,1)</f>
        <v>46301</v>
      </c>
      <c r="AX2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3" s="58">
        <f>IF(ISNUMBER(tblSteps[[#This Row],[顧客納期]]),INT(tblSteps[[#This Row],[顧客納期]]),0)</f>
        <v>46346</v>
      </c>
      <c r="AZ23" s="58">
        <f>IF(tblSteps[[#This Row],[日付OK]]=0,"",MIN(tblSteps[[#This Row],[計開]],IF(ISNUMBER(tblSteps[[#This Row],[実績開始日]]),tblSteps[[#This Row],[実開]],tblSteps[[#This Row],[計開]])))</f>
        <v>46300</v>
      </c>
      <c r="BA23" s="58">
        <f>IF(tblSteps[[#This Row],[日付OK]]=0,"",MAX(tblSteps[[#This Row],[計終]],tblSteps[[#This Row],[実終]],tblSteps[[#This Row],[遅終]]))</f>
        <v>46300</v>
      </c>
      <c r="BB2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3" s="58">
        <f>IF(AND(tblSteps[[#This Row],[集計対象]]=1,tblSteps[[#This Row],[状態]]="未着手"),IF(tblSteps[[#This Row],[日付OK]]=1,INT(tblSteps[[#This Row],[計画開始日]]),99999)*100000+N(tblSteps[[#This Row],[ID番号]]),"")</f>
        <v>4630000018</v>
      </c>
      <c r="BD2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54630000018</v>
      </c>
      <c r="BE2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2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3" s="58">
        <f>IF(tblSteps[[#This Row],[日別対象]]=1,COUNTIFS(tblSteps[日別対象],1,tblSteps[並びキー],"&lt;"&amp;tblSteps[[#This Row],[並びキー]])+1,"")</f>
        <v>21</v>
      </c>
      <c r="BH2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3" s="58">
        <f>IF(tblSteps[[#This Row],[週別対象]]=1,COUNTIFS(tblSteps[週別対象],1,tblSteps[並びキー],"&lt;"&amp;tblSteps[[#This Row],[並びキー]])+1,"")</f>
        <v>24</v>
      </c>
      <c r="BK2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23" s="58">
        <f>IFERROR(MATCH(tblSteps[[#This Row],[担当]],lst_Staff,0),99)*1000000000000+N(tblSteps[[#This Row],[開始分]])*10000+MOD(N(tblSteps[[#This Row],[ID番号]]),10000)</f>
        <v>1666726000018</v>
      </c>
      <c r="BM23" s="58">
        <f>IF(tblSteps[[#This Row],[時間割対象]]=1,COUNTIFS(tblSteps[時間割対象],1,tblSteps[時間割キー],"&lt;"&amp;tblSteps[[#This Row],[時間割キー]])+1,"")</f>
        <v>1</v>
      </c>
      <c r="BN23" s="58">
        <f>IF(AND(tblSteps[[#This Row],[表示可能]]=1,tblSteps[[#This Row],[完了]]=0,tblSteps[[#This Row],[重要度]]&gt;0),1,0)</f>
        <v>0</v>
      </c>
      <c r="BO23" s="58">
        <f>tblSteps[[#This Row],[重要度]]*10000000000+IF(tblSteps[[#This Row],[日付OK]]=1,INT(tblSteps[[#This Row],[計画終了日]]),99999)*100000+N(tblSteps[[#This Row],[ID番号]])</f>
        <v>4630000018</v>
      </c>
      <c r="BP23" s="58" t="str">
        <f>IF(tblSteps[[#This Row],[ホーム注意対象]]=1,COUNTIFS(tblSteps[ホーム注意対象],1,tblSteps[ホーム注意キー],"&lt;"&amp;tblSteps[[#This Row],[ホーム注意キー]])+1,"")</f>
        <v/>
      </c>
      <c r="BQ23" s="58">
        <f>IF(tblSteps[[#This Row],[完了遅延日数]]&gt;0,1,0)</f>
        <v>0</v>
      </c>
      <c r="BR23" s="58" t="str">
        <f>IF(tblSteps[[#This Row],[完了遅延対象]]=1,COUNTIFS(tblSteps[完了遅延対象],1,tblSteps[並びキー],"&lt;"&amp;tblSteps[[#This Row],[並びキー]])+1,"")</f>
        <v/>
      </c>
    </row>
    <row r="24">
      <c r="A24" s="48" t="inlineStr">
        <is>
          <t>S0019</t>
        </is>
      </c>
      <c r="B24" s="48" t="inlineStr">
        <is>
          <t>A0022</t>
        </is>
      </c>
      <c r="C24" s="52" t="str">
        <f>IF(tblSteps[[#This Row],[案件ID]]="","",IF(tblSteps[[#This Row],[案件行]]="","（未登録の案件ID）",INDEX(tblProjects[案件名],tblSteps[[#This Row],[案件行]])&amp;""))</f>
        <v>制御盤更新工事</v>
      </c>
      <c r="D24" s="49" t="inlineStr">
        <is>
          <t>据付工事</t>
        </is>
      </c>
      <c r="E24" s="50" t="inlineStr">
        <is>
          <t>協力会社B</t>
        </is>
      </c>
      <c r="F24" s="50" t="inlineStr">
        <is>
          <t>未着手</t>
        </is>
      </c>
      <c r="G24" s="59" t="n">
        <v>0</v>
      </c>
      <c r="H24" s="51" t="n">
        <v>46335</v>
      </c>
      <c r="I24" s="51" t="n">
        <v>46339</v>
      </c>
      <c r="J24" s="51" t="n"/>
      <c r="K24" s="51" t="n"/>
      <c r="L24" s="51" t="n"/>
      <c r="M2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4" s="57">
        <f>IF(tblSteps[[#This Row],[案件行]]="","",IF(ISNUMBER(INDEX(tblProjects[顧客納期],tblSteps[[#This Row],[案件行]])),INDEX(tblProjects[顧客納期],tblSteps[[#This Row],[案件行]]),""))</f>
        <v>46346.0</v>
      </c>
      <c r="O24" s="60" t="n"/>
      <c r="P24" s="60" t="n"/>
      <c r="Q24" s="61" t="n">
        <v>40</v>
      </c>
      <c r="R24" s="48" t="inlineStr">
        <is>
          <t>S0017</t>
        </is>
      </c>
      <c r="S24" s="49" t="n"/>
      <c r="T2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4" s="58">
        <f>IFERROR(VALUE(MID(tblSteps[[#This Row],[工程ID]],2,20)),"")</f>
        <v>19</v>
      </c>
      <c r="V24" s="58">
        <f>IF(tblSteps[[#This Row],[案件ID]]="","",IFERROR(MATCH(tblSteps[[#This Row],[案件ID]],tblProjects[案件ID],0),""))</f>
        <v>4</v>
      </c>
      <c r="W24" s="58">
        <f>IF(AND(tblSteps[[#This Row],[工程ID]]&lt;&gt;"",tblSteps[[#This Row],[状態]]&lt;&gt;"取消"),1,0)</f>
        <v>1</v>
      </c>
      <c r="X24" s="58">
        <f>IF(AND(tblSteps[[#This Row],[工程ID]]&lt;&gt;"",tblSteps[[#This Row],[案件行]]&lt;&gt;"",tblSteps[[#This Row],[状態]]&lt;&gt;"取消"),1,0)</f>
        <v>1</v>
      </c>
      <c r="Y24" s="58">
        <f>IF(tblSteps[[#This Row],[状態]]="完了",1,0)</f>
        <v>0</v>
      </c>
      <c r="Z24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4" s="62">
        <f>IF(ISNUMBER(tblSteps[[#This Row],[開始時刻]]),MOD(tblSteps[[#This Row],[開始時刻]],1),DefStart)</f>
        <v>0.375</v>
      </c>
      <c r="AB24" s="62">
        <f>IF(ISNUMBER(tblSteps[[#This Row],[終了時刻]]),MOD(tblSteps[[#This Row],[終了時刻]],1),DefEnd)</f>
        <v>0.75</v>
      </c>
      <c r="AC24" s="58">
        <f>IF(tblSteps[[#This Row],[日付OK]]=1,ROUND((INT(tblSteps[[#This Row],[計画開始日]])+tblSteps[[#This Row],[開始時刻値]])*1440,0),"")</f>
        <v>66722940</v>
      </c>
      <c r="AD24" s="58">
        <f>IF(tblSteps[[#This Row],[日付OK]]=1,ROUND((INT(tblSteps[[#This Row],[計画終了日]])+tblSteps[[#This Row],[終了時刻値]])*1440,0),"")</f>
        <v>66729240</v>
      </c>
      <c r="AE24" s="58">
        <f>IF(tblSteps[[#This Row],[日付OK]]=0,0,IF(tblSteps[[#This Row],[終了分]]&gt;tblSteps[[#This Row],[開始分]],1,0))</f>
        <v>1</v>
      </c>
      <c r="AF24" s="58">
        <f>IF(ISNUMBER(tblSteps[[#This Row],[進捗率]]),MAX(0,MIN(1,tblSteps[[#This Row],[進捗率]])),0)</f>
        <v>0</v>
      </c>
      <c r="AG24" s="58">
        <f>IF(AND(ISNUMBER(tblSteps[[#This Row],[計画工数（時間）]]),N(tblSteps[[#This Row],[計画工数（時間）]])&gt;0),1,0)</f>
        <v>1</v>
      </c>
      <c r="AH24" s="58">
        <f>tblSteps[[#This Row],[進捗値]]*N(tblSteps[[#This Row],[計画工数（時間）]])</f>
        <v>0</v>
      </c>
      <c r="AI24" s="58">
        <f>IF(ISNUMBER(tblSteps[[#This Row],[完了見込日]]),1,0)</f>
        <v>0</v>
      </c>
      <c r="AJ24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46339.0</v>
      </c>
      <c r="AK24" s="58">
        <f>IF(AND(tblSteps[[#This Row],[集計対象]]=1,tblSteps[[#This Row],[完了]]=0,tblSteps[[#This Row],[日付OK]]=1),MAX(0,RefDate-INT(tblSteps[[#This Row],[計画終了日]])),0)</f>
        <v>0</v>
      </c>
      <c r="AL2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4" s="58">
        <f>IF(AND(tblSteps[[#This Row],[集計対象]]=1,tblSteps[[#This Row],[完了]]=0,tblSteps[[#This Row],[時刻OK]]=1,tblSteps[[#This Row],[担当]]&lt;&gt;""),1,0)</f>
        <v>1</v>
      </c>
      <c r="AP2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4" s="58">
        <f>IF(tblSteps[[#This Row],[日付OK]]=1,INT(tblSteps[[#This Row],[計画開始日]]),1)</f>
        <v>46335</v>
      </c>
      <c r="AT24" s="58">
        <f>IF(tblSteps[[#This Row],[日付OK]]=1,INT(tblSteps[[#This Row],[計画終了日]]),0)</f>
        <v>46339</v>
      </c>
      <c r="AU24" s="58">
        <f>IF(ISNUMBER(tblSteps[[#This Row],[実績開始日]]),INT(tblSteps[[#This Row],[実績開始日]]),1)</f>
        <v>1</v>
      </c>
      <c r="AV2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4" s="58">
        <f>IF(AND(tblSteps[[#This Row],[集計対象]]=1,tblSteps[[#This Row],[完了]]=0,tblSteps[[#This Row],[日付OK]]=1),INT(tblSteps[[#This Row],[計画終了日]])+1,1)</f>
        <v>46340</v>
      </c>
      <c r="AX2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4" s="58">
        <f>IF(ISNUMBER(tblSteps[[#This Row],[顧客納期]]),INT(tblSteps[[#This Row],[顧客納期]]),0)</f>
        <v>46346</v>
      </c>
      <c r="AZ24" s="58">
        <f>IF(tblSteps[[#This Row],[日付OK]]=0,"",MIN(tblSteps[[#This Row],[計開]],IF(ISNUMBER(tblSteps[[#This Row],[実績開始日]]),tblSteps[[#This Row],[実開]],tblSteps[[#This Row],[計開]])))</f>
        <v>46335</v>
      </c>
      <c r="BA24" s="58">
        <f>IF(tblSteps[[#This Row],[日付OK]]=0,"",MAX(tblSteps[[#This Row],[計終]],tblSteps[[#This Row],[実終]],tblSteps[[#This Row],[遅終]]))</f>
        <v>46339</v>
      </c>
      <c r="BB2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4" s="58">
        <f>IF(AND(tblSteps[[#This Row],[集計対象]]=1,tblSteps[[#This Row],[状態]]="未着手"),IF(tblSteps[[#This Row],[日付OK]]=1,INT(tblSteps[[#This Row],[計画開始日]]),99999)*100000+N(tblSteps[[#This Row],[ID番号]]),"")</f>
        <v>4633500019</v>
      </c>
      <c r="BD2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54633500019</v>
      </c>
      <c r="BE2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1</v>
      </c>
      <c r="BG24" s="58" t="str">
        <f>IF(tblSteps[[#This Row],[日別対象]]=1,COUNTIFS(tblSteps[日別対象],1,tblSteps[並びキー],"&lt;"&amp;tblSteps[[#This Row],[並びキー]])+1,"")</f>
        <v/>
      </c>
      <c r="BH2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4" s="58">
        <f>IF(tblSteps[[#This Row],[週別対象]]=1,COUNTIFS(tblSteps[週別対象],1,tblSteps[並びキー],"&lt;"&amp;tblSteps[[#This Row],[並びキー]])+1,"")</f>
        <v>27</v>
      </c>
      <c r="BK2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4" s="58">
        <f>IFERROR(MATCH(tblSteps[[#This Row],[担当]],lst_Staff,0),99)*1000000000000+N(tblSteps[[#This Row],[開始分]])*10000+MOD(N(tblSteps[[#This Row],[ID番号]]),10000)</f>
        <v>6667229400019</v>
      </c>
      <c r="BM24" s="58" t="str">
        <f>IF(tblSteps[[#This Row],[時間割対象]]=1,COUNTIFS(tblSteps[時間割対象],1,tblSteps[時間割キー],"&lt;"&amp;tblSteps[[#This Row],[時間割キー]])+1,"")</f>
        <v/>
      </c>
      <c r="BN24" s="58">
        <f>IF(AND(tblSteps[[#This Row],[表示可能]]=1,tblSteps[[#This Row],[完了]]=0,tblSteps[[#This Row],[重要度]]&gt;0),1,0)</f>
        <v>0</v>
      </c>
      <c r="BO24" s="58">
        <f>tblSteps[[#This Row],[重要度]]*10000000000+IF(tblSteps[[#This Row],[日付OK]]=1,INT(tblSteps[[#This Row],[計画終了日]]),99999)*100000+N(tblSteps[[#This Row],[ID番号]])</f>
        <v>4633900019</v>
      </c>
      <c r="BP24" s="58" t="str">
        <f>IF(tblSteps[[#This Row],[ホーム注意対象]]=1,COUNTIFS(tblSteps[ホーム注意対象],1,tblSteps[ホーム注意キー],"&lt;"&amp;tblSteps[[#This Row],[ホーム注意キー]])+1,"")</f>
        <v/>
      </c>
      <c r="BQ24" s="58">
        <f>IF(tblSteps[[#This Row],[完了遅延日数]]&gt;0,1,0)</f>
        <v>0</v>
      </c>
      <c r="BR24" s="58" t="str">
        <f>IF(tblSteps[[#This Row],[完了遅延対象]]=1,COUNTIFS(tblSteps[完了遅延対象],1,tblSteps[並びキー],"&lt;"&amp;tblSteps[[#This Row],[並びキー]])+1,"")</f>
        <v/>
      </c>
    </row>
    <row r="25">
      <c r="A25" s="48" t="inlineStr">
        <is>
          <t>S0020</t>
        </is>
      </c>
      <c r="B25" s="48" t="inlineStr">
        <is>
          <t>A0022</t>
        </is>
      </c>
      <c r="C25" s="52" t="str">
        <f>IF(tblSteps[[#This Row],[案件ID]]="","",IF(tblSteps[[#This Row],[案件行]]="","（未登録の案件ID）",INDEX(tblProjects[案件名],tblSteps[[#This Row],[案件行]])&amp;""))</f>
        <v>制御盤更新工事</v>
      </c>
      <c r="D25" s="49" t="inlineStr">
        <is>
          <t>試験・引渡し</t>
        </is>
      </c>
      <c r="E25" s="50" t="inlineStr">
        <is>
          <t>田中</t>
        </is>
      </c>
      <c r="F25" s="50" t="inlineStr">
        <is>
          <t>未着手</t>
        </is>
      </c>
      <c r="G25" s="59" t="n">
        <v>0</v>
      </c>
      <c r="H25" s="51" t="n">
        <v>46342</v>
      </c>
      <c r="I25" s="51" t="n">
        <v>46344</v>
      </c>
      <c r="J25" s="51" t="n"/>
      <c r="K25" s="51" t="n"/>
      <c r="L25" s="51" t="n"/>
      <c r="M2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5" s="57">
        <f>IF(tblSteps[[#This Row],[案件行]]="","",IF(ISNUMBER(INDEX(tblProjects[顧客納期],tblSteps[[#This Row],[案件行]])),INDEX(tblProjects[顧客納期],tblSteps[[#This Row],[案件行]]),""))</f>
        <v>46346.0</v>
      </c>
      <c r="O25" s="60" t="n"/>
      <c r="P25" s="60" t="n"/>
      <c r="Q25" s="61" t="n">
        <v>16</v>
      </c>
      <c r="R25" s="48" t="inlineStr">
        <is>
          <t>S0019</t>
        </is>
      </c>
      <c r="S25" s="49" t="n"/>
      <c r="T2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5" s="58">
        <f>IFERROR(VALUE(MID(tblSteps[[#This Row],[工程ID]],2,20)),"")</f>
        <v>20</v>
      </c>
      <c r="V25" s="58">
        <f>IF(tblSteps[[#This Row],[案件ID]]="","",IFERROR(MATCH(tblSteps[[#This Row],[案件ID]],tblProjects[案件ID],0),""))</f>
        <v>4</v>
      </c>
      <c r="W25" s="58">
        <f>IF(AND(tblSteps[[#This Row],[工程ID]]&lt;&gt;"",tblSteps[[#This Row],[状態]]&lt;&gt;"取消"),1,0)</f>
        <v>1</v>
      </c>
      <c r="X25" s="58">
        <f>IF(AND(tblSteps[[#This Row],[工程ID]]&lt;&gt;"",tblSteps[[#This Row],[案件行]]&lt;&gt;"",tblSteps[[#This Row],[状態]]&lt;&gt;"取消"),1,0)</f>
        <v>1</v>
      </c>
      <c r="Y25" s="58">
        <f>IF(tblSteps[[#This Row],[状態]]="完了",1,0)</f>
        <v>0</v>
      </c>
      <c r="Z25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5" s="62">
        <f>IF(ISNUMBER(tblSteps[[#This Row],[開始時刻]]),MOD(tblSteps[[#This Row],[開始時刻]],1),DefStart)</f>
        <v>0.375</v>
      </c>
      <c r="AB25" s="62">
        <f>IF(ISNUMBER(tblSteps[[#This Row],[終了時刻]]),MOD(tblSteps[[#This Row],[終了時刻]],1),DefEnd)</f>
        <v>0.75</v>
      </c>
      <c r="AC25" s="58">
        <f>IF(tblSteps[[#This Row],[日付OK]]=1,ROUND((INT(tblSteps[[#This Row],[計画開始日]])+tblSteps[[#This Row],[開始時刻値]])*1440,0),"")</f>
        <v>66733020</v>
      </c>
      <c r="AD25" s="58">
        <f>IF(tblSteps[[#This Row],[日付OK]]=1,ROUND((INT(tblSteps[[#This Row],[計画終了日]])+tblSteps[[#This Row],[終了時刻値]])*1440,0),"")</f>
        <v>66736440</v>
      </c>
      <c r="AE25" s="58">
        <f>IF(tblSteps[[#This Row],[日付OK]]=0,0,IF(tblSteps[[#This Row],[終了分]]&gt;tblSteps[[#This Row],[開始分]],1,0))</f>
        <v>1</v>
      </c>
      <c r="AF25" s="58">
        <f>IF(ISNUMBER(tblSteps[[#This Row],[進捗率]]),MAX(0,MIN(1,tblSteps[[#This Row],[進捗率]])),0)</f>
        <v>0</v>
      </c>
      <c r="AG25" s="58">
        <f>IF(AND(ISNUMBER(tblSteps[[#This Row],[計画工数（時間）]]),N(tblSteps[[#This Row],[計画工数（時間）]])&gt;0),1,0)</f>
        <v>1</v>
      </c>
      <c r="AH25" s="58">
        <f>tblSteps[[#This Row],[進捗値]]*N(tblSteps[[#This Row],[計画工数（時間）]])</f>
        <v>0</v>
      </c>
      <c r="AI25" s="58">
        <f>IF(ISNUMBER(tblSteps[[#This Row],[完了見込日]]),1,0)</f>
        <v>0</v>
      </c>
      <c r="AJ25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46344.0</v>
      </c>
      <c r="AK25" s="58">
        <f>IF(AND(tblSteps[[#This Row],[集計対象]]=1,tblSteps[[#This Row],[完了]]=0,tblSteps[[#This Row],[日付OK]]=1),MAX(0,RefDate-INT(tblSteps[[#This Row],[計画終了日]])),0)</f>
        <v>0</v>
      </c>
      <c r="AL2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5" s="58">
        <f>IF(AND(tblSteps[[#This Row],[集計対象]]=1,tblSteps[[#This Row],[完了]]=0,tblSteps[[#This Row],[時刻OK]]=1,tblSteps[[#This Row],[担当]]&lt;&gt;""),1,0)</f>
        <v>1</v>
      </c>
      <c r="AP2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5" s="58">
        <f>IF(tblSteps[[#This Row],[日付OK]]=1,INT(tblSteps[[#This Row],[計画開始日]]),1)</f>
        <v>46342</v>
      </c>
      <c r="AT25" s="58">
        <f>IF(tblSteps[[#This Row],[日付OK]]=1,INT(tblSteps[[#This Row],[計画終了日]]),0)</f>
        <v>46344</v>
      </c>
      <c r="AU25" s="58">
        <f>IF(ISNUMBER(tblSteps[[#This Row],[実績開始日]]),INT(tblSteps[[#This Row],[実績開始日]]),1)</f>
        <v>1</v>
      </c>
      <c r="AV2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5" s="58">
        <f>IF(AND(tblSteps[[#This Row],[集計対象]]=1,tblSteps[[#This Row],[完了]]=0,tblSteps[[#This Row],[日付OK]]=1),INT(tblSteps[[#This Row],[計画終了日]])+1,1)</f>
        <v>46345</v>
      </c>
      <c r="AX2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5" s="58">
        <f>IF(ISNUMBER(tblSteps[[#This Row],[顧客納期]]),INT(tblSteps[[#This Row],[顧客納期]]),0)</f>
        <v>46346</v>
      </c>
      <c r="AZ25" s="58">
        <f>IF(tblSteps[[#This Row],[日付OK]]=0,"",MIN(tblSteps[[#This Row],[計開]],IF(ISNUMBER(tblSteps[[#This Row],[実績開始日]]),tblSteps[[#This Row],[実開]],tblSteps[[#This Row],[計開]])))</f>
        <v>46342</v>
      </c>
      <c r="BA25" s="58">
        <f>IF(tblSteps[[#This Row],[日付OK]]=0,"",MAX(tblSteps[[#This Row],[計終]],tblSteps[[#This Row],[実終]],tblSteps[[#This Row],[遅終]]))</f>
        <v>46344</v>
      </c>
      <c r="BB2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5" s="58">
        <f>IF(AND(tblSteps[[#This Row],[集計対象]]=1,tblSteps[[#This Row],[状態]]="未着手"),IF(tblSteps[[#This Row],[日付OK]]=1,INT(tblSteps[[#This Row],[計画開始日]]),99999)*100000+N(tblSteps[[#This Row],[ID番号]]),"")</f>
        <v>4634200020</v>
      </c>
      <c r="BD2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54634200020</v>
      </c>
      <c r="BE2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1</v>
      </c>
      <c r="BG25" s="58" t="str">
        <f>IF(tblSteps[[#This Row],[日別対象]]=1,COUNTIFS(tblSteps[日別対象],1,tblSteps[並びキー],"&lt;"&amp;tblSteps[[#This Row],[並びキー]])+1,"")</f>
        <v/>
      </c>
      <c r="BH2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5" s="58">
        <f>IF(tblSteps[[#This Row],[週別対象]]=1,COUNTIFS(tblSteps[週別対象],1,tblSteps[並びキー],"&lt;"&amp;tblSteps[[#This Row],[並びキー]])+1,"")</f>
        <v>28</v>
      </c>
      <c r="BK2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5" s="58">
        <f>IFERROR(MATCH(tblSteps[[#This Row],[担当]],lst_Staff,0),99)*1000000000000+N(tblSteps[[#This Row],[開始分]])*10000+MOD(N(tblSteps[[#This Row],[ID番号]]),10000)</f>
        <v>1667330200020</v>
      </c>
      <c r="BM25" s="58" t="str">
        <f>IF(tblSteps[[#This Row],[時間割対象]]=1,COUNTIFS(tblSteps[時間割対象],1,tblSteps[時間割キー],"&lt;"&amp;tblSteps[[#This Row],[時間割キー]])+1,"")</f>
        <v/>
      </c>
      <c r="BN25" s="58">
        <f>IF(AND(tblSteps[[#This Row],[表示可能]]=1,tblSteps[[#This Row],[完了]]=0,tblSteps[[#This Row],[重要度]]&gt;0),1,0)</f>
        <v>0</v>
      </c>
      <c r="BO25" s="58">
        <f>tblSteps[[#This Row],[重要度]]*10000000000+IF(tblSteps[[#This Row],[日付OK]]=1,INT(tblSteps[[#This Row],[計画終了日]]),99999)*100000+N(tblSteps[[#This Row],[ID番号]])</f>
        <v>4634400020</v>
      </c>
      <c r="BP25" s="58" t="str">
        <f>IF(tblSteps[[#This Row],[ホーム注意対象]]=1,COUNTIFS(tblSteps[ホーム注意対象],1,tblSteps[ホーム注意キー],"&lt;"&amp;tblSteps[[#This Row],[ホーム注意キー]])+1,"")</f>
        <v/>
      </c>
      <c r="BQ25" s="58">
        <f>IF(tblSteps[[#This Row],[完了遅延日数]]&gt;0,1,0)</f>
        <v>0</v>
      </c>
      <c r="BR25" s="58" t="str">
        <f>IF(tblSteps[[#This Row],[完了遅延対象]]=1,COUNTIFS(tblSteps[完了遅延対象],1,tblSteps[並びキー],"&lt;"&amp;tblSteps[[#This Row],[並びキー]])+1,"")</f>
        <v/>
      </c>
    </row>
    <row r="26">
      <c r="A26" s="48" t="inlineStr">
        <is>
          <t>S0021</t>
        </is>
      </c>
      <c r="B26" s="48" t="inlineStr">
        <is>
          <t>A0023</t>
        </is>
      </c>
      <c r="C26" s="52" t="str">
        <f>IF(tblSteps[[#This Row],[案件ID]]="","",IF(tblSteps[[#This Row],[案件行]]="","（未登録の案件ID）",INDEX(tblProjects[案件名],tblSteps[[#This Row],[案件行]])&amp;""))</f>
        <v>定期保守点検（年2回）</v>
      </c>
      <c r="D26" s="49" t="inlineStr">
        <is>
          <t>点検計画</t>
        </is>
      </c>
      <c r="E26" s="50" t="inlineStr">
        <is>
          <t>渡辺</t>
        </is>
      </c>
      <c r="F26" s="50" t="inlineStr">
        <is>
          <t>完了</t>
        </is>
      </c>
      <c r="G26" s="59" t="n">
        <v>1</v>
      </c>
      <c r="H26" s="51" t="n">
        <v>46287</v>
      </c>
      <c r="I26" s="51" t="n">
        <v>46289</v>
      </c>
      <c r="J26" s="51" t="n"/>
      <c r="K26" s="51" t="n">
        <v>46287</v>
      </c>
      <c r="L26" s="51" t="n">
        <v>46289</v>
      </c>
      <c r="M2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6" s="57">
        <f>IF(tblSteps[[#This Row],[案件行]]="","",IF(ISNUMBER(INDEX(tblProjects[顧客納期],tblSteps[[#This Row],[案件行]])),INDEX(tblProjects[顧客納期],tblSteps[[#This Row],[案件行]]),""))</f>
        <v>46297.0</v>
      </c>
      <c r="O26" s="60" t="n"/>
      <c r="P26" s="60" t="n"/>
      <c r="Q26" s="61" t="n">
        <v>6</v>
      </c>
      <c r="R26" s="48" t="n"/>
      <c r="S26" s="49" t="n"/>
      <c r="T2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6" s="58">
        <f>IFERROR(VALUE(MID(tblSteps[[#This Row],[工程ID]],2,20)),"")</f>
        <v>21</v>
      </c>
      <c r="V26" s="58">
        <f>IF(tblSteps[[#This Row],[案件ID]]="","",IFERROR(MATCH(tblSteps[[#This Row],[案件ID]],tblProjects[案件ID],0),""))</f>
        <v>5</v>
      </c>
      <c r="W26" s="58">
        <f>IF(AND(tblSteps[[#This Row],[工程ID]]&lt;&gt;"",tblSteps[[#This Row],[状態]]&lt;&gt;"取消"),1,0)</f>
        <v>1</v>
      </c>
      <c r="X26" s="58">
        <f>IF(AND(tblSteps[[#This Row],[工程ID]]&lt;&gt;"",tblSteps[[#This Row],[案件行]]&lt;&gt;"",tblSteps[[#This Row],[状態]]&lt;&gt;"取消"),1,0)</f>
        <v>1</v>
      </c>
      <c r="Y26" s="58">
        <f>IF(tblSteps[[#This Row],[状態]]="完了",1,0)</f>
        <v>1</v>
      </c>
      <c r="Z26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6" s="62">
        <f>IF(ISNUMBER(tblSteps[[#This Row],[開始時刻]]),MOD(tblSteps[[#This Row],[開始時刻]],1),DefStart)</f>
        <v>0.375</v>
      </c>
      <c r="AB26" s="62">
        <f>IF(ISNUMBER(tblSteps[[#This Row],[終了時刻]]),MOD(tblSteps[[#This Row],[終了時刻]],1),DefEnd)</f>
        <v>0.75</v>
      </c>
      <c r="AC26" s="58">
        <f>IF(tblSteps[[#This Row],[日付OK]]=1,ROUND((INT(tblSteps[[#This Row],[計画開始日]])+tblSteps[[#This Row],[開始時刻値]])*1440,0),"")</f>
        <v>66653820</v>
      </c>
      <c r="AD26" s="58">
        <f>IF(tblSteps[[#This Row],[日付OK]]=1,ROUND((INT(tblSteps[[#This Row],[計画終了日]])+tblSteps[[#This Row],[終了時刻値]])*1440,0),"")</f>
        <v>66657240</v>
      </c>
      <c r="AE26" s="58">
        <f>IF(tblSteps[[#This Row],[日付OK]]=0,0,IF(tblSteps[[#This Row],[終了分]]&gt;tblSteps[[#This Row],[開始分]],1,0))</f>
        <v>1</v>
      </c>
      <c r="AF26" s="58">
        <f>IF(ISNUMBER(tblSteps[[#This Row],[進捗率]]),MAX(0,MIN(1,tblSteps[[#This Row],[進捗率]])),0)</f>
        <v>1</v>
      </c>
      <c r="AG26" s="58">
        <f>IF(AND(ISNUMBER(tblSteps[[#This Row],[計画工数（時間）]]),N(tblSteps[[#This Row],[計画工数（時間）]])&gt;0),1,0)</f>
        <v>1</v>
      </c>
      <c r="AH26" s="58">
        <f>tblSteps[[#This Row],[進捗値]]*N(tblSteps[[#This Row],[計画工数（時間）]])</f>
        <v>6</v>
      </c>
      <c r="AI26" s="58">
        <f>IF(ISNUMBER(tblSteps[[#This Row],[完了見込日]]),1,0)</f>
        <v>0</v>
      </c>
      <c r="AJ26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46289.0</v>
      </c>
      <c r="AK26" s="58">
        <f>IF(AND(tblSteps[[#This Row],[集計対象]]=1,tblSteps[[#This Row],[完了]]=0,tblSteps[[#This Row],[日付OK]]=1),MAX(0,RefDate-INT(tblSteps[[#This Row],[計画終了日]])),0)</f>
        <v>0</v>
      </c>
      <c r="AL2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6" s="58">
        <f>IF(AND(tblSteps[[#This Row],[集計対象]]=1,tblSteps[[#This Row],[完了]]=0,tblSteps[[#This Row],[時刻OK]]=1,tblSteps[[#This Row],[担当]]&lt;&gt;""),1,0)</f>
        <v>0</v>
      </c>
      <c r="AP2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完了</v>
      </c>
      <c r="AR2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6" s="58">
        <f>IF(tblSteps[[#This Row],[日付OK]]=1,INT(tblSteps[[#This Row],[計画開始日]]),1)</f>
        <v>46287</v>
      </c>
      <c r="AT26" s="58">
        <f>IF(tblSteps[[#This Row],[日付OK]]=1,INT(tblSteps[[#This Row],[計画終了日]]),0)</f>
        <v>46289</v>
      </c>
      <c r="AU26" s="58">
        <f>IF(ISNUMBER(tblSteps[[#This Row],[実績開始日]]),INT(tblSteps[[#This Row],[実績開始日]]),1)</f>
        <v>46287</v>
      </c>
      <c r="AV2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46289</v>
      </c>
      <c r="AW26" s="58">
        <f>IF(AND(tblSteps[[#This Row],[集計対象]]=1,tblSteps[[#This Row],[完了]]=0,tblSteps[[#This Row],[日付OK]]=1),INT(tblSteps[[#This Row],[計画終了日]])+1,1)</f>
        <v>1</v>
      </c>
      <c r="AX2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6" s="58">
        <f>IF(ISNUMBER(tblSteps[[#This Row],[顧客納期]]),INT(tblSteps[[#This Row],[顧客納期]]),0)</f>
        <v>46297</v>
      </c>
      <c r="AZ26" s="58">
        <f>IF(tblSteps[[#This Row],[日付OK]]=0,"",MIN(tblSteps[[#This Row],[計開]],IF(ISNUMBER(tblSteps[[#This Row],[実績開始日]]),tblSteps[[#This Row],[実開]],tblSteps[[#This Row],[計開]])))</f>
        <v>46287</v>
      </c>
      <c r="BA26" s="58">
        <f>IF(tblSteps[[#This Row],[日付OK]]=0,"",MAX(tblSteps[[#This Row],[計終]],tblSteps[[#This Row],[実終]],tblSteps[[#This Row],[遅終]]))</f>
        <v>46289</v>
      </c>
      <c r="BB2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14628700021</v>
      </c>
      <c r="BE2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1</v>
      </c>
      <c r="BG26" s="58" t="str">
        <f>IF(tblSteps[[#This Row],[日別対象]]=1,COUNTIFS(tblSteps[日別対象],1,tblSteps[並びキー],"&lt;"&amp;tblSteps[[#This Row],[並びキー]])+1,"")</f>
        <v/>
      </c>
      <c r="BH2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6" s="58">
        <f>IF(tblSteps[[#This Row],[週別対象]]=1,COUNTIFS(tblSteps[週別対象],1,tblSteps[並びキー],"&lt;"&amp;tblSteps[[#This Row],[並びキー]])+1,"")</f>
        <v>1</v>
      </c>
      <c r="BK2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6" s="58">
        <f>IFERROR(MATCH(tblSteps[[#This Row],[担当]],lst_Staff,0),99)*1000000000000+N(tblSteps[[#This Row],[開始分]])*10000+MOD(N(tblSteps[[#This Row],[ID番号]]),10000)</f>
        <v>4666538200021</v>
      </c>
      <c r="BM26" s="58" t="str">
        <f>IF(tblSteps[[#This Row],[時間割対象]]=1,COUNTIFS(tblSteps[時間割対象],1,tblSteps[時間割キー],"&lt;"&amp;tblSteps[[#This Row],[時間割キー]])+1,"")</f>
        <v/>
      </c>
      <c r="BN26" s="58">
        <f>IF(AND(tblSteps[[#This Row],[表示可能]]=1,tblSteps[[#This Row],[完了]]=0,tblSteps[[#This Row],[重要度]]&gt;0),1,0)</f>
        <v>0</v>
      </c>
      <c r="BO26" s="58">
        <f>tblSteps[[#This Row],[重要度]]*10000000000+IF(tblSteps[[#This Row],[日付OK]]=1,INT(tblSteps[[#This Row],[計画終了日]]),99999)*100000+N(tblSteps[[#This Row],[ID番号]])</f>
        <v>4628900021</v>
      </c>
      <c r="BP26" s="58" t="str">
        <f>IF(tblSteps[[#This Row],[ホーム注意対象]]=1,COUNTIFS(tblSteps[ホーム注意対象],1,tblSteps[ホーム注意キー],"&lt;"&amp;tblSteps[[#This Row],[ホーム注意キー]])+1,"")</f>
        <v/>
      </c>
      <c r="BQ26" s="58">
        <f>IF(tblSteps[[#This Row],[完了遅延日数]]&gt;0,1,0)</f>
        <v>0</v>
      </c>
      <c r="BR26" s="58" t="str">
        <f>IF(tblSteps[[#This Row],[完了遅延対象]]=1,COUNTIFS(tblSteps[完了遅延対象],1,tblSteps[並びキー],"&lt;"&amp;tblSteps[[#This Row],[並びキー]])+1,"")</f>
        <v/>
      </c>
    </row>
    <row r="27">
      <c r="A27" s="48" t="inlineStr">
        <is>
          <t>S0022</t>
        </is>
      </c>
      <c r="B27" s="48" t="inlineStr">
        <is>
          <t>A0023</t>
        </is>
      </c>
      <c r="C27" s="52" t="str">
        <f>IF(tblSteps[[#This Row],[案件ID]]="","",IF(tblSteps[[#This Row],[案件行]]="","（未登録の案件ID）",INDEX(tblProjects[案件名],tblSteps[[#This Row],[案件行]])&amp;""))</f>
        <v>定期保守点検（年2回）</v>
      </c>
      <c r="D27" s="49" t="inlineStr">
        <is>
          <t>点検作業</t>
        </is>
      </c>
      <c r="E27" s="50" t="inlineStr">
        <is>
          <t>渡辺</t>
        </is>
      </c>
      <c r="F27" s="50" t="inlineStr">
        <is>
          <t>進行中</t>
        </is>
      </c>
      <c r="G27" s="59" t="n">
        <v>0.8</v>
      </c>
      <c r="H27" s="51" t="n">
        <v>46294</v>
      </c>
      <c r="I27" s="51" t="n">
        <v>46296</v>
      </c>
      <c r="J27" s="51" t="n"/>
      <c r="K27" s="51" t="n">
        <v>46294</v>
      </c>
      <c r="L27" s="51" t="n"/>
      <c r="M2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工程期限超過4日／顧客納期より遅い見込</v>
      </c>
      <c r="N27" s="57">
        <f>IF(tblSteps[[#This Row],[案件行]]="","",IF(ISNUMBER(INDEX(tblProjects[顧客納期],tblSteps[[#This Row],[案件行]])),INDEX(tblProjects[顧客納期],tblSteps[[#This Row],[案件行]]),""))</f>
        <v>46297.0</v>
      </c>
      <c r="O27" s="60" t="n"/>
      <c r="P27" s="60" t="n"/>
      <c r="Q27" s="61" t="n">
        <v>24</v>
      </c>
      <c r="R27" s="48" t="inlineStr">
        <is>
          <t>S0021</t>
        </is>
      </c>
      <c r="S27" s="49" t="inlineStr">
        <is>
          <t>交換部品待ち</t>
        </is>
      </c>
      <c r="T2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7" s="58">
        <f>IFERROR(VALUE(MID(tblSteps[[#This Row],[工程ID]],2,20)),"")</f>
        <v>22</v>
      </c>
      <c r="V27" s="58">
        <f>IF(tblSteps[[#This Row],[案件ID]]="","",IFERROR(MATCH(tblSteps[[#This Row],[案件ID]],tblProjects[案件ID],0),""))</f>
        <v>5</v>
      </c>
      <c r="W27" s="58">
        <f>IF(AND(tblSteps[[#This Row],[工程ID]]&lt;&gt;"",tblSteps[[#This Row],[状態]]&lt;&gt;"取消"),1,0)</f>
        <v>1</v>
      </c>
      <c r="X27" s="58">
        <f>IF(AND(tblSteps[[#This Row],[工程ID]]&lt;&gt;"",tblSteps[[#This Row],[案件行]]&lt;&gt;"",tblSteps[[#This Row],[状態]]&lt;&gt;"取消"),1,0)</f>
        <v>1</v>
      </c>
      <c r="Y27" s="58">
        <f>IF(tblSteps[[#This Row],[状態]]="完了",1,0)</f>
        <v>0</v>
      </c>
      <c r="Z27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7" s="62">
        <f>IF(ISNUMBER(tblSteps[[#This Row],[開始時刻]]),MOD(tblSteps[[#This Row],[開始時刻]],1),DefStart)</f>
        <v>0.375</v>
      </c>
      <c r="AB27" s="62">
        <f>IF(ISNUMBER(tblSteps[[#This Row],[終了時刻]]),MOD(tblSteps[[#This Row],[終了時刻]],1),DefEnd)</f>
        <v>0.75</v>
      </c>
      <c r="AC27" s="58">
        <f>IF(tblSteps[[#This Row],[日付OK]]=1,ROUND((INT(tblSteps[[#This Row],[計画開始日]])+tblSteps[[#This Row],[開始時刻値]])*1440,0),"")</f>
        <v>66663900</v>
      </c>
      <c r="AD27" s="58">
        <f>IF(tblSteps[[#This Row],[日付OK]]=1,ROUND((INT(tblSteps[[#This Row],[計画終了日]])+tblSteps[[#This Row],[終了時刻値]])*1440,0),"")</f>
        <v>66667320</v>
      </c>
      <c r="AE27" s="58">
        <f>IF(tblSteps[[#This Row],[日付OK]]=0,0,IF(tblSteps[[#This Row],[終了分]]&gt;tblSteps[[#This Row],[開始分]],1,0))</f>
        <v>1</v>
      </c>
      <c r="AF27" s="58">
        <f>IF(ISNUMBER(tblSteps[[#This Row],[進捗率]]),MAX(0,MIN(1,tblSteps[[#This Row],[進捗率]])),0)</f>
        <v>0.8</v>
      </c>
      <c r="AG27" s="58">
        <f>IF(AND(ISNUMBER(tblSteps[[#This Row],[計画工数（時間）]]),N(tblSteps[[#This Row],[計画工数（時間）]])&gt;0),1,0)</f>
        <v>1</v>
      </c>
      <c r="AH27" s="58">
        <f>tblSteps[[#This Row],[進捗値]]*N(tblSteps[[#This Row],[計画工数（時間）]])</f>
        <v>19.2</v>
      </c>
      <c r="AI27" s="58">
        <f>IF(ISNUMBER(tblSteps[[#This Row],[完了見込日]]),1,0)</f>
        <v>0</v>
      </c>
      <c r="AJ27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46300.0</v>
      </c>
      <c r="AK27" s="58">
        <f>IF(AND(tblSteps[[#This Row],[集計対象]]=1,tblSteps[[#This Row],[完了]]=0,tblSteps[[#This Row],[日付OK]]=1),MAX(0,RefDate-INT(tblSteps[[#This Row],[計画終了日]])),0)</f>
        <v>4</v>
      </c>
      <c r="AL2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1</v>
      </c>
      <c r="AO27" s="58">
        <f>IF(AND(tblSteps[[#This Row],[集計対象]]=1,tblSteps[[#This Row],[完了]]=0,tblSteps[[#This Row],[時刻OK]]=1,tblSteps[[#This Row],[担当]]&lt;&gt;""),1,0)</f>
        <v>1</v>
      </c>
      <c r="AP2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期限超過4日</v>
      </c>
      <c r="AR2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2</v>
      </c>
      <c r="AS27" s="58">
        <f>IF(tblSteps[[#This Row],[日付OK]]=1,INT(tblSteps[[#This Row],[計画開始日]]),1)</f>
        <v>46294</v>
      </c>
      <c r="AT27" s="58">
        <f>IF(tblSteps[[#This Row],[日付OK]]=1,INT(tblSteps[[#This Row],[計画終了日]]),0)</f>
        <v>46296</v>
      </c>
      <c r="AU27" s="58">
        <f>IF(ISNUMBER(tblSteps[[#This Row],[実績開始日]]),INT(tblSteps[[#This Row],[実績開始日]]),1)</f>
        <v>46294</v>
      </c>
      <c r="AV2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46300</v>
      </c>
      <c r="AW27" s="58">
        <f>IF(AND(tblSteps[[#This Row],[集計対象]]=1,tblSteps[[#This Row],[完了]]=0,tblSteps[[#This Row],[日付OK]]=1),INT(tblSteps[[#This Row],[計画終了日]])+1,1)</f>
        <v>46297</v>
      </c>
      <c r="AX2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46300</v>
      </c>
      <c r="AY27" s="58">
        <f>IF(ISNUMBER(tblSteps[[#This Row],[顧客納期]]),INT(tblSteps[[#This Row],[顧客納期]]),0)</f>
        <v>46297</v>
      </c>
      <c r="AZ27" s="58">
        <f>IF(tblSteps[[#This Row],[日付OK]]=0,"",MIN(tblSteps[[#This Row],[計開]],IF(ISNUMBER(tblSteps[[#This Row],[実績開始日]]),tblSteps[[#This Row],[実開]],tblSteps[[#This Row],[計開]])))</f>
        <v>46294</v>
      </c>
      <c r="BA27" s="58">
        <f>IF(tblSteps[[#This Row],[日付OK]]=0,"",MAX(tblSteps[[#This Row],[計終]],tblSteps[[#This Row],[実終]],tblSteps[[#This Row],[遅終]]))</f>
        <v>46300</v>
      </c>
      <c r="BB27" s="58">
        <f>IF(AND(tblSteps[[#This Row],[集計対象]]=1,tblSteps[[#This Row],[状態]]="進行中"),IF(tblSteps[[#This Row],[日付OK]]=1,INT(tblSteps[[#This Row],[計画開始日]]),99999)*100000+N(tblSteps[[#This Row],[ID番号]]),"")</f>
        <v>4629400022</v>
      </c>
      <c r="BC2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14629400022</v>
      </c>
      <c r="BE2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2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7" s="58">
        <f>IF(tblSteps[[#This Row],[日別対象]]=1,COUNTIFS(tblSteps[日別対象],1,tblSteps[並びキー],"&lt;"&amp;tblSteps[[#This Row],[並びキー]])+1,"")</f>
        <v>1</v>
      </c>
      <c r="BH2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7" s="58">
        <f>IF(tblSteps[[#This Row],[週別対象]]=1,COUNTIFS(tblSteps[週別対象],1,tblSteps[並びキー],"&lt;"&amp;tblSteps[[#This Row],[並びキー]])+1,"")</f>
        <v>2</v>
      </c>
      <c r="BK2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7" s="58">
        <f>IFERROR(MATCH(tblSteps[[#This Row],[担当]],lst_Staff,0),99)*1000000000000+N(tblSteps[[#This Row],[開始分]])*10000+MOD(N(tblSteps[[#This Row],[ID番号]]),10000)</f>
        <v>4666639000022</v>
      </c>
      <c r="BM27" s="58" t="str">
        <f>IF(tblSteps[[#This Row],[時間割対象]]=1,COUNTIFS(tblSteps[時間割対象],1,tblSteps[時間割キー],"&lt;"&amp;tblSteps[[#This Row],[時間割キー]])+1,"")</f>
        <v/>
      </c>
      <c r="BN27" s="58">
        <f>IF(AND(tblSteps[[#This Row],[表示可能]]=1,tblSteps[[#This Row],[完了]]=0,tblSteps[[#This Row],[重要度]]&gt;0),1,0)</f>
        <v>1</v>
      </c>
      <c r="BO27" s="58">
        <f>tblSteps[[#This Row],[重要度]]*10000000000+IF(tblSteps[[#This Row],[日付OK]]=1,INT(tblSteps[[#This Row],[計画終了日]]),99999)*100000+N(tblSteps[[#This Row],[ID番号]])</f>
        <v>24629600022</v>
      </c>
      <c r="BP27" s="58">
        <f>IF(tblSteps[[#This Row],[ホーム注意対象]]=1,COUNTIFS(tblSteps[ホーム注意対象],1,tblSteps[ホーム注意キー],"&lt;"&amp;tblSteps[[#This Row],[ホーム注意キー]])+1,"")</f>
        <v>1</v>
      </c>
      <c r="BQ27" s="58">
        <f>IF(tblSteps[[#This Row],[完了遅延日数]]&gt;0,1,0)</f>
        <v>0</v>
      </c>
      <c r="BR27" s="58" t="str">
        <f>IF(tblSteps[[#This Row],[完了遅延対象]]=1,COUNTIFS(tblSteps[完了遅延対象],1,tblSteps[並びキー],"&lt;"&amp;tblSteps[[#This Row],[並びキー]])+1,"")</f>
        <v/>
      </c>
    </row>
    <row r="28">
      <c r="A28" s="48" t="inlineStr">
        <is>
          <t>S0023</t>
        </is>
      </c>
      <c r="B28" s="48" t="inlineStr">
        <is>
          <t>A0023</t>
        </is>
      </c>
      <c r="C28" s="52" t="str">
        <f>IF(tblSteps[[#This Row],[案件ID]]="","",IF(tblSteps[[#This Row],[案件行]]="","（未登録の案件ID）",INDEX(tblProjects[案件名],tblSteps[[#This Row],[案件行]])&amp;""))</f>
        <v>定期保守点検（年2回）</v>
      </c>
      <c r="D28" s="49" t="inlineStr">
        <is>
          <t>報告書の提出</t>
        </is>
      </c>
      <c r="E28" s="50" t="inlineStr">
        <is>
          <t>渡辺</t>
        </is>
      </c>
      <c r="F28" s="50" t="inlineStr">
        <is>
          <t>未着手</t>
        </is>
      </c>
      <c r="G28" s="59" t="n">
        <v>0</v>
      </c>
      <c r="H28" s="51" t="n">
        <v>46297</v>
      </c>
      <c r="I28" s="51" t="n">
        <v>46297</v>
      </c>
      <c r="J28" s="51" t="n"/>
      <c r="K28" s="51" t="n"/>
      <c r="L28" s="51" t="n"/>
      <c r="M2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工程期限超過3日／顧客納期より遅い見込</v>
      </c>
      <c r="N28" s="57">
        <f>IF(tblSteps[[#This Row],[案件行]]="","",IF(ISNUMBER(INDEX(tblProjects[顧客納期],tblSteps[[#This Row],[案件行]])),INDEX(tblProjects[顧客納期],tblSteps[[#This Row],[案件行]]),""))</f>
        <v>46297.0</v>
      </c>
      <c r="O28" s="60" t="n"/>
      <c r="P28" s="60" t="n"/>
      <c r="Q28" s="61" t="n">
        <v>4</v>
      </c>
      <c r="R28" s="48" t="inlineStr">
        <is>
          <t>S0022</t>
        </is>
      </c>
      <c r="S28" s="49" t="n"/>
      <c r="T2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8" s="58">
        <f>IFERROR(VALUE(MID(tblSteps[[#This Row],[工程ID]],2,20)),"")</f>
        <v>23</v>
      </c>
      <c r="V28" s="58">
        <f>IF(tblSteps[[#This Row],[案件ID]]="","",IFERROR(MATCH(tblSteps[[#This Row],[案件ID]],tblProjects[案件ID],0),""))</f>
        <v>5</v>
      </c>
      <c r="W28" s="58">
        <f>IF(AND(tblSteps[[#This Row],[工程ID]]&lt;&gt;"",tblSteps[[#This Row],[状態]]&lt;&gt;"取消"),1,0)</f>
        <v>1</v>
      </c>
      <c r="X28" s="58">
        <f>IF(AND(tblSteps[[#This Row],[工程ID]]&lt;&gt;"",tblSteps[[#This Row],[案件行]]&lt;&gt;"",tblSteps[[#This Row],[状態]]&lt;&gt;"取消"),1,0)</f>
        <v>1</v>
      </c>
      <c r="Y28" s="58">
        <f>IF(tblSteps[[#This Row],[状態]]="完了",1,0)</f>
        <v>0</v>
      </c>
      <c r="Z28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8" s="62">
        <f>IF(ISNUMBER(tblSteps[[#This Row],[開始時刻]]),MOD(tblSteps[[#This Row],[開始時刻]],1),DefStart)</f>
        <v>0.375</v>
      </c>
      <c r="AB28" s="62">
        <f>IF(ISNUMBER(tblSteps[[#This Row],[終了時刻]]),MOD(tblSteps[[#This Row],[終了時刻]],1),DefEnd)</f>
        <v>0.75</v>
      </c>
      <c r="AC28" s="58">
        <f>IF(tblSteps[[#This Row],[日付OK]]=1,ROUND((INT(tblSteps[[#This Row],[計画開始日]])+tblSteps[[#This Row],[開始時刻値]])*1440,0),"")</f>
        <v>66668220</v>
      </c>
      <c r="AD28" s="58">
        <f>IF(tblSteps[[#This Row],[日付OK]]=1,ROUND((INT(tblSteps[[#This Row],[計画終了日]])+tblSteps[[#This Row],[終了時刻値]])*1440,0),"")</f>
        <v>66668760</v>
      </c>
      <c r="AE28" s="58">
        <f>IF(tblSteps[[#This Row],[日付OK]]=0,0,IF(tblSteps[[#This Row],[終了分]]&gt;tblSteps[[#This Row],[開始分]],1,0))</f>
        <v>1</v>
      </c>
      <c r="AF28" s="58">
        <f>IF(ISNUMBER(tblSteps[[#This Row],[進捗率]]),MAX(0,MIN(1,tblSteps[[#This Row],[進捗率]])),0)</f>
        <v>0</v>
      </c>
      <c r="AG28" s="58">
        <f>IF(AND(ISNUMBER(tblSteps[[#This Row],[計画工数（時間）]]),N(tblSteps[[#This Row],[計画工数（時間）]])&gt;0),1,0)</f>
        <v>1</v>
      </c>
      <c r="AH28" s="58">
        <f>tblSteps[[#This Row],[進捗値]]*N(tblSteps[[#This Row],[計画工数（時間）]])</f>
        <v>0</v>
      </c>
      <c r="AI28" s="58">
        <f>IF(ISNUMBER(tblSteps[[#This Row],[完了見込日]]),1,0)</f>
        <v>0</v>
      </c>
      <c r="AJ28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46300.0</v>
      </c>
      <c r="AK28" s="58">
        <f>IF(AND(tblSteps[[#This Row],[集計対象]]=1,tblSteps[[#This Row],[完了]]=0,tblSteps[[#This Row],[日付OK]]=1),MAX(0,RefDate-INT(tblSteps[[#This Row],[計画終了日]])),0)</f>
        <v>3</v>
      </c>
      <c r="AL2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1</v>
      </c>
      <c r="AO28" s="58">
        <f>IF(AND(tblSteps[[#This Row],[集計対象]]=1,tblSteps[[#This Row],[完了]]=0,tblSteps[[#This Row],[時刻OK]]=1,tblSteps[[#This Row],[担当]]&lt;&gt;""),1,0)</f>
        <v>1</v>
      </c>
      <c r="AP2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期限超過3日</v>
      </c>
      <c r="AR2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2</v>
      </c>
      <c r="AS28" s="58">
        <f>IF(tblSteps[[#This Row],[日付OK]]=1,INT(tblSteps[[#This Row],[計画開始日]]),1)</f>
        <v>46297</v>
      </c>
      <c r="AT28" s="58">
        <f>IF(tblSteps[[#This Row],[日付OK]]=1,INT(tblSteps[[#This Row],[計画終了日]]),0)</f>
        <v>46297</v>
      </c>
      <c r="AU28" s="58">
        <f>IF(ISNUMBER(tblSteps[[#This Row],[実績開始日]]),INT(tblSteps[[#This Row],[実績開始日]]),1)</f>
        <v>1</v>
      </c>
      <c r="AV2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8" s="58">
        <f>IF(AND(tblSteps[[#This Row],[集計対象]]=1,tblSteps[[#This Row],[完了]]=0,tblSteps[[#This Row],[日付OK]]=1),INT(tblSteps[[#This Row],[計画終了日]])+1,1)</f>
        <v>46298</v>
      </c>
      <c r="AX2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46300</v>
      </c>
      <c r="AY28" s="58">
        <f>IF(ISNUMBER(tblSteps[[#This Row],[顧客納期]]),INT(tblSteps[[#This Row],[顧客納期]]),0)</f>
        <v>46297</v>
      </c>
      <c r="AZ28" s="58">
        <f>IF(tblSteps[[#This Row],[日付OK]]=0,"",MIN(tblSteps[[#This Row],[計開]],IF(ISNUMBER(tblSteps[[#This Row],[実績開始日]]),tblSteps[[#This Row],[実開]],tblSteps[[#This Row],[計開]])))</f>
        <v>46297</v>
      </c>
      <c r="BA28" s="58">
        <f>IF(tblSteps[[#This Row],[日付OK]]=0,"",MAX(tblSteps[[#This Row],[計終]],tblSteps[[#This Row],[実終]],tblSteps[[#This Row],[遅終]]))</f>
        <v>46300</v>
      </c>
      <c r="BB2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8" s="58">
        <f>IF(AND(tblSteps[[#This Row],[集計対象]]=1,tblSteps[[#This Row],[状態]]="未着手"),IF(tblSteps[[#This Row],[日付OK]]=1,INT(tblSteps[[#This Row],[計画開始日]]),99999)*100000+N(tblSteps[[#This Row],[ID番号]]),"")</f>
        <v>4629700023</v>
      </c>
      <c r="BD2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14629700023</v>
      </c>
      <c r="BE2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2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8" s="58">
        <f>IF(tblSteps[[#This Row],[日別対象]]=1,COUNTIFS(tblSteps[日別対象],1,tblSteps[並びキー],"&lt;"&amp;tblSteps[[#This Row],[並びキー]])+1,"")</f>
        <v>2</v>
      </c>
      <c r="BH2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8" s="58">
        <f>IF(tblSteps[[#This Row],[週別対象]]=1,COUNTIFS(tblSteps[週別対象],1,tblSteps[並びキー],"&lt;"&amp;tblSteps[[#This Row],[並びキー]])+1,"")</f>
        <v>3</v>
      </c>
      <c r="BK2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8" s="58">
        <f>IFERROR(MATCH(tblSteps[[#This Row],[担当]],lst_Staff,0),99)*1000000000000+N(tblSteps[[#This Row],[開始分]])*10000+MOD(N(tblSteps[[#This Row],[ID番号]]),10000)</f>
        <v>4666682200023</v>
      </c>
      <c r="BM28" s="58" t="str">
        <f>IF(tblSteps[[#This Row],[時間割対象]]=1,COUNTIFS(tblSteps[時間割対象],1,tblSteps[時間割キー],"&lt;"&amp;tblSteps[[#This Row],[時間割キー]])+1,"")</f>
        <v/>
      </c>
      <c r="BN28" s="58">
        <f>IF(AND(tblSteps[[#This Row],[表示可能]]=1,tblSteps[[#This Row],[完了]]=0,tblSteps[[#This Row],[重要度]]&gt;0),1,0)</f>
        <v>1</v>
      </c>
      <c r="BO28" s="58">
        <f>tblSteps[[#This Row],[重要度]]*10000000000+IF(tblSteps[[#This Row],[日付OK]]=1,INT(tblSteps[[#This Row],[計画終了日]]),99999)*100000+N(tblSteps[[#This Row],[ID番号]])</f>
        <v>24629700023</v>
      </c>
      <c r="BP28" s="58">
        <f>IF(tblSteps[[#This Row],[ホーム注意対象]]=1,COUNTIFS(tblSteps[ホーム注意対象],1,tblSteps[ホーム注意キー],"&lt;"&amp;tblSteps[[#This Row],[ホーム注意キー]])+1,"")</f>
        <v>2</v>
      </c>
      <c r="BQ28" s="58">
        <f>IF(tblSteps[[#This Row],[完了遅延日数]]&gt;0,1,0)</f>
        <v>0</v>
      </c>
      <c r="BR28" s="58" t="str">
        <f>IF(tblSteps[[#This Row],[完了遅延対象]]=1,COUNTIFS(tblSteps[完了遅延対象],1,tblSteps[並びキー],"&lt;"&amp;tblSteps[[#This Row],[並びキー]])+1,"")</f>
        <v/>
      </c>
    </row>
    <row r="29">
      <c r="A29" s="48" t="inlineStr">
        <is>
          <t>S0024</t>
        </is>
      </c>
      <c r="B29" s="48" t="inlineStr">
        <is>
          <t>A0020</t>
        </is>
      </c>
      <c r="C29" s="52" t="str">
        <f>IF(tblSteps[[#This Row],[案件ID]]="","",IF(tblSteps[[#This Row],[案件行]]="","（未登録の案件ID）",INDEX(tblProjects[案件名],tblSteps[[#This Row],[案件行]])&amp;""))</f>
        <v>スポット修理（搬送装置）</v>
      </c>
      <c r="D29" s="49" t="inlineStr">
        <is>
          <t>追加見積の打合せ</t>
        </is>
      </c>
      <c r="E29" s="50" t="inlineStr">
        <is>
          <t>伊藤</t>
        </is>
      </c>
      <c r="F29" s="50" t="inlineStr">
        <is>
          <t>未着手</t>
        </is>
      </c>
      <c r="G29" s="59" t="n">
        <v>0</v>
      </c>
      <c r="H29" s="51" t="n">
        <v>46300</v>
      </c>
      <c r="I29" s="51" t="n">
        <v>46300</v>
      </c>
      <c r="J29" s="51" t="n"/>
      <c r="K29" s="51" t="n"/>
      <c r="L29" s="51" t="n"/>
      <c r="M2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予定重複の可能性（伊藤）</v>
      </c>
      <c r="N29" s="57">
        <f>IF(tblSteps[[#This Row],[案件行]]="","",IF(ISNUMBER(INDEX(tblProjects[顧客納期],tblSteps[[#This Row],[案件行]])),INDEX(tblProjects[顧客納期],tblSteps[[#This Row],[案件行]]),""))</f>
        <v>46304.0</v>
      </c>
      <c r="O29" s="60" t="n">
        <v>0.4583333333333333</v>
      </c>
      <c r="P29" s="60" t="n">
        <v>0.5</v>
      </c>
      <c r="Q29" s="61" t="n">
        <v>1</v>
      </c>
      <c r="R29" s="48" t="n"/>
      <c r="S29" s="49" t="inlineStr">
        <is>
          <t>修理作業と時間が重なる</t>
        </is>
      </c>
      <c r="T2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9" s="58">
        <f>IFERROR(VALUE(MID(tblSteps[[#This Row],[工程ID]],2,20)),"")</f>
        <v>24</v>
      </c>
      <c r="V29" s="58">
        <f>IF(tblSteps[[#This Row],[案件ID]]="","",IFERROR(MATCH(tblSteps[[#This Row],[案件ID]],tblProjects[案件ID],0),""))</f>
        <v>2</v>
      </c>
      <c r="W29" s="58">
        <f>IF(AND(tblSteps[[#This Row],[工程ID]]&lt;&gt;"",tblSteps[[#This Row],[状態]]&lt;&gt;"取消"),1,0)</f>
        <v>1</v>
      </c>
      <c r="X29" s="58">
        <f>IF(AND(tblSteps[[#This Row],[工程ID]]&lt;&gt;"",tblSteps[[#This Row],[案件行]]&lt;&gt;"",tblSteps[[#This Row],[状態]]&lt;&gt;"取消"),1,0)</f>
        <v>1</v>
      </c>
      <c r="Y29" s="58">
        <f>IF(tblSteps[[#This Row],[状態]]="完了",1,0)</f>
        <v>0</v>
      </c>
      <c r="Z29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29" s="62">
        <f>IF(ISNUMBER(tblSteps[[#This Row],[開始時刻]]),MOD(tblSteps[[#This Row],[開始時刻]],1),DefStart)</f>
        <v>0.4583333333333333</v>
      </c>
      <c r="AB29" s="62">
        <f>IF(ISNUMBER(tblSteps[[#This Row],[終了時刻]]),MOD(tblSteps[[#This Row],[終了時刻]],1),DefEnd)</f>
        <v>0.5</v>
      </c>
      <c r="AC29" s="58">
        <f>IF(tblSteps[[#This Row],[日付OK]]=1,ROUND((INT(tblSteps[[#This Row],[計画開始日]])+tblSteps[[#This Row],[開始時刻値]])*1440,0),"")</f>
        <v>66672660</v>
      </c>
      <c r="AD29" s="58">
        <f>IF(tblSteps[[#This Row],[日付OK]]=1,ROUND((INT(tblSteps[[#This Row],[計画終了日]])+tblSteps[[#This Row],[終了時刻値]])*1440,0),"")</f>
        <v>66672720</v>
      </c>
      <c r="AE29" s="58">
        <f>IF(tblSteps[[#This Row],[日付OK]]=0,0,IF(tblSteps[[#This Row],[終了分]]&gt;tblSteps[[#This Row],[開始分]],1,0))</f>
        <v>1</v>
      </c>
      <c r="AF29" s="58">
        <f>IF(ISNUMBER(tblSteps[[#This Row],[進捗率]]),MAX(0,MIN(1,tblSteps[[#This Row],[進捗率]])),0)</f>
        <v>0</v>
      </c>
      <c r="AG29" s="58">
        <f>IF(AND(ISNUMBER(tblSteps[[#This Row],[計画工数（時間）]]),N(tblSteps[[#This Row],[計画工数（時間）]])&gt;0),1,0)</f>
        <v>1</v>
      </c>
      <c r="AH29" s="58">
        <f>tblSteps[[#This Row],[進捗値]]*N(tblSteps[[#This Row],[計画工数（時間）]])</f>
        <v>0</v>
      </c>
      <c r="AI29" s="58">
        <f>IF(ISNUMBER(tblSteps[[#This Row],[完了見込日]]),1,0)</f>
        <v>0</v>
      </c>
      <c r="AJ29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46300.0</v>
      </c>
      <c r="AK29" s="58">
        <f>IF(AND(tblSteps[[#This Row],[集計対象]]=1,tblSteps[[#This Row],[完了]]=0,tblSteps[[#This Row],[日付OK]]=1),MAX(0,RefDate-INT(tblSteps[[#This Row],[計画終了日]])),0)</f>
        <v>0</v>
      </c>
      <c r="AL2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9" s="58">
        <f>IF(AND(tblSteps[[#This Row],[集計対象]]=1,tblSteps[[#This Row],[完了]]=0,tblSteps[[#This Row],[時刻OK]]=1,tblSteps[[#This Row],[担当]]&lt;&gt;""),1,0)</f>
        <v>1</v>
      </c>
      <c r="AP2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1</v>
      </c>
      <c r="AQ2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重複の可能性</v>
      </c>
      <c r="AR2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5</v>
      </c>
      <c r="AS29" s="58">
        <f>IF(tblSteps[[#This Row],[日付OK]]=1,INT(tblSteps[[#This Row],[計画開始日]]),1)</f>
        <v>46300</v>
      </c>
      <c r="AT29" s="58">
        <f>IF(tblSteps[[#This Row],[日付OK]]=1,INT(tblSteps[[#This Row],[計画終了日]]),0)</f>
        <v>46300</v>
      </c>
      <c r="AU29" s="58">
        <f>IF(ISNUMBER(tblSteps[[#This Row],[実績開始日]]),INT(tblSteps[[#This Row],[実績開始日]]),1)</f>
        <v>1</v>
      </c>
      <c r="AV2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9" s="58">
        <f>IF(AND(tblSteps[[#This Row],[集計対象]]=1,tblSteps[[#This Row],[完了]]=0,tblSteps[[#This Row],[日付OK]]=1),INT(tblSteps[[#This Row],[計画終了日]])+1,1)</f>
        <v>46301</v>
      </c>
      <c r="AX2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9" s="58">
        <f>IF(ISNUMBER(tblSteps[[#This Row],[顧客納期]]),INT(tblSteps[[#This Row],[顧客納期]]),0)</f>
        <v>46304</v>
      </c>
      <c r="AZ29" s="58">
        <f>IF(tblSteps[[#This Row],[日付OK]]=0,"",MIN(tblSteps[[#This Row],[計開]],IF(ISNUMBER(tblSteps[[#This Row],[実績開始日]]),tblSteps[[#This Row],[実開]],tblSteps[[#This Row],[計開]])))</f>
        <v>46300</v>
      </c>
      <c r="BA29" s="58">
        <f>IF(tblSteps[[#This Row],[日付OK]]=0,"",MAX(tblSteps[[#This Row],[計終]],tblSteps[[#This Row],[実終]],tblSteps[[#This Row],[遅終]]))</f>
        <v>46300</v>
      </c>
      <c r="BB2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9" s="58">
        <f>IF(AND(tblSteps[[#This Row],[集計対象]]=1,tblSteps[[#This Row],[状態]]="未着手"),IF(tblSteps[[#This Row],[日付OK]]=1,INT(tblSteps[[#This Row],[計画開始日]]),99999)*100000+N(tblSteps[[#This Row],[ID番号]]),"")</f>
        <v>4630000024</v>
      </c>
      <c r="BD2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24630000024</v>
      </c>
      <c r="BE2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2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9" s="58">
        <f>IF(tblSteps[[#This Row],[日別対象]]=1,COUNTIFS(tblSteps[日別対象],1,tblSteps[並びキー],"&lt;"&amp;tblSteps[[#This Row],[並びキー]])+1,"")</f>
        <v>6</v>
      </c>
      <c r="BH2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2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9" s="58">
        <f>IF(tblSteps[[#This Row],[週別対象]]=1,COUNTIFS(tblSteps[週別対象],1,tblSteps[並びキー],"&lt;"&amp;tblSteps[[#This Row],[並びキー]])+1,"")</f>
        <v>7</v>
      </c>
      <c r="BK2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29" s="58">
        <f>IFERROR(MATCH(tblSteps[[#This Row],[担当]],lst_Staff,0),99)*1000000000000+N(tblSteps[[#This Row],[開始分]])*10000+MOD(N(tblSteps[[#This Row],[ID番号]]),10000)</f>
        <v>3666726600024</v>
      </c>
      <c r="BM29" s="58">
        <f>IF(tblSteps[[#This Row],[時間割対象]]=1,COUNTIFS(tblSteps[時間割対象],1,tblSteps[時間割キー],"&lt;"&amp;tblSteps[[#This Row],[時間割キー]])+1,"")</f>
        <v>7</v>
      </c>
      <c r="BN29" s="58">
        <f>IF(AND(tblSteps[[#This Row],[表示可能]]=1,tblSteps[[#This Row],[完了]]=0,tblSteps[[#This Row],[重要度]]&gt;0),1,0)</f>
        <v>1</v>
      </c>
      <c r="BO29" s="58">
        <f>tblSteps[[#This Row],[重要度]]*10000000000+IF(tblSteps[[#This Row],[日付OK]]=1,INT(tblSteps[[#This Row],[計画終了日]]),99999)*100000+N(tblSteps[[#This Row],[ID番号]])</f>
        <v>54630000024</v>
      </c>
      <c r="BP29" s="58">
        <f>IF(tblSteps[[#This Row],[ホーム注意対象]]=1,COUNTIFS(tblSteps[ホーム注意対象],1,tblSteps[ホーム注意キー],"&lt;"&amp;tblSteps[[#This Row],[ホーム注意キー]])+1,"")</f>
        <v>8</v>
      </c>
      <c r="BQ29" s="58">
        <f>IF(tblSteps[[#This Row],[完了遅延日数]]&gt;0,1,0)</f>
        <v>0</v>
      </c>
      <c r="BR29" s="58" t="str">
        <f>IF(tblSteps[[#This Row],[完了遅延対象]]=1,COUNTIFS(tblSteps[完了遅延対象],1,tblSteps[並びキー],"&lt;"&amp;tblSteps[[#This Row],[並びキー]])+1,"")</f>
        <v/>
      </c>
    </row>
    <row r="30">
      <c r="A30" s="48" t="inlineStr">
        <is>
          <t>S0025</t>
        </is>
      </c>
      <c r="B30" s="48" t="inlineStr">
        <is>
          <t>A0022</t>
        </is>
      </c>
      <c r="C30" s="52" t="str">
        <f>IF(tblSteps[[#This Row],[案件ID]]="","",IF(tblSteps[[#This Row],[案件行]]="","（未登録の案件ID）",INDEX(tblProjects[案件名],tblSteps[[#This Row],[案件行]])&amp;""))</f>
        <v>制御盤更新工事</v>
      </c>
      <c r="D30" s="49" t="inlineStr">
        <is>
          <t>安全教育</t>
        </is>
      </c>
      <c r="E30" s="50" t="inlineStr">
        <is>
          <t>田中</t>
        </is>
      </c>
      <c r="F30" s="50" t="inlineStr">
        <is>
          <t>未着手</t>
        </is>
      </c>
      <c r="G30" s="59" t="n">
        <v>0</v>
      </c>
      <c r="H30" s="51" t="n">
        <v>46300</v>
      </c>
      <c r="I30" s="51" t="n">
        <v>46300</v>
      </c>
      <c r="J30" s="51" t="n"/>
      <c r="K30" s="51" t="n"/>
      <c r="L30" s="51" t="n"/>
      <c r="M3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0" s="57">
        <f>IF(tblSteps[[#This Row],[案件行]]="","",IF(ISNUMBER(INDEX(tblProjects[顧客納期],tblSteps[[#This Row],[案件行]])),INDEX(tblProjects[顧客納期],tblSteps[[#This Row],[案件行]]),""))</f>
        <v>46346.0</v>
      </c>
      <c r="O30" s="60" t="n">
        <v>0.4583333333333333</v>
      </c>
      <c r="P30" s="60" t="n">
        <v>0.5</v>
      </c>
      <c r="Q30" s="61" t="n">
        <v>1</v>
      </c>
      <c r="R30" s="48" t="n"/>
      <c r="S30" s="49" t="inlineStr">
        <is>
          <t>10:00〜11:00 の打合せと連続（重複ではない）</t>
        </is>
      </c>
      <c r="T3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0" s="58">
        <f>IFERROR(VALUE(MID(tblSteps[[#This Row],[工程ID]],2,20)),"")</f>
        <v>25</v>
      </c>
      <c r="V30" s="58">
        <f>IF(tblSteps[[#This Row],[案件ID]]="","",IFERROR(MATCH(tblSteps[[#This Row],[案件ID]],tblProjects[案件ID],0),""))</f>
        <v>4</v>
      </c>
      <c r="W30" s="58">
        <f>IF(AND(tblSteps[[#This Row],[工程ID]]&lt;&gt;"",tblSteps[[#This Row],[状態]]&lt;&gt;"取消"),1,0)</f>
        <v>1</v>
      </c>
      <c r="X30" s="58">
        <f>IF(AND(tblSteps[[#This Row],[工程ID]]&lt;&gt;"",tblSteps[[#This Row],[案件行]]&lt;&gt;"",tblSteps[[#This Row],[状態]]&lt;&gt;"取消"),1,0)</f>
        <v>1</v>
      </c>
      <c r="Y30" s="58">
        <f>IF(tblSteps[[#This Row],[状態]]="完了",1,0)</f>
        <v>0</v>
      </c>
      <c r="Z30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30" s="62">
        <f>IF(ISNUMBER(tblSteps[[#This Row],[開始時刻]]),MOD(tblSteps[[#This Row],[開始時刻]],1),DefStart)</f>
        <v>0.4583333333333333</v>
      </c>
      <c r="AB30" s="62">
        <f>IF(ISNUMBER(tblSteps[[#This Row],[終了時刻]]),MOD(tblSteps[[#This Row],[終了時刻]],1),DefEnd)</f>
        <v>0.5</v>
      </c>
      <c r="AC30" s="58">
        <f>IF(tblSteps[[#This Row],[日付OK]]=1,ROUND((INT(tblSteps[[#This Row],[計画開始日]])+tblSteps[[#This Row],[開始時刻値]])*1440,0),"")</f>
        <v>66672660</v>
      </c>
      <c r="AD30" s="58">
        <f>IF(tblSteps[[#This Row],[日付OK]]=1,ROUND((INT(tblSteps[[#This Row],[計画終了日]])+tblSteps[[#This Row],[終了時刻値]])*1440,0),"")</f>
        <v>66672720</v>
      </c>
      <c r="AE30" s="58">
        <f>IF(tblSteps[[#This Row],[日付OK]]=0,0,IF(tblSteps[[#This Row],[終了分]]&gt;tblSteps[[#This Row],[開始分]],1,0))</f>
        <v>1</v>
      </c>
      <c r="AF30" s="58">
        <f>IF(ISNUMBER(tblSteps[[#This Row],[進捗率]]),MAX(0,MIN(1,tblSteps[[#This Row],[進捗率]])),0)</f>
        <v>0</v>
      </c>
      <c r="AG30" s="58">
        <f>IF(AND(ISNUMBER(tblSteps[[#This Row],[計画工数（時間）]]),N(tblSteps[[#This Row],[計画工数（時間）]])&gt;0),1,0)</f>
        <v>1</v>
      </c>
      <c r="AH30" s="58">
        <f>tblSteps[[#This Row],[進捗値]]*N(tblSteps[[#This Row],[計画工数（時間）]])</f>
        <v>0</v>
      </c>
      <c r="AI30" s="58">
        <f>IF(ISNUMBER(tblSteps[[#This Row],[完了見込日]]),1,0)</f>
        <v>0</v>
      </c>
      <c r="AJ30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46300.0</v>
      </c>
      <c r="AK30" s="58">
        <f>IF(AND(tblSteps[[#This Row],[集計対象]]=1,tblSteps[[#This Row],[完了]]=0,tblSteps[[#This Row],[日付OK]]=1),MAX(0,RefDate-INT(tblSteps[[#This Row],[計画終了日]])),0)</f>
        <v>0</v>
      </c>
      <c r="AL3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0" s="58">
        <f>IF(AND(tblSteps[[#This Row],[集計対象]]=1,tblSteps[[#This Row],[完了]]=0,tblSteps[[#This Row],[時刻OK]]=1,tblSteps[[#This Row],[担当]]&lt;&gt;""),1,0)</f>
        <v>1</v>
      </c>
      <c r="AP3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0" s="58">
        <f>IF(tblSteps[[#This Row],[日付OK]]=1,INT(tblSteps[[#This Row],[計画開始日]]),1)</f>
        <v>46300</v>
      </c>
      <c r="AT30" s="58">
        <f>IF(tblSteps[[#This Row],[日付OK]]=1,INT(tblSteps[[#This Row],[計画終了日]]),0)</f>
        <v>46300</v>
      </c>
      <c r="AU30" s="58">
        <f>IF(ISNUMBER(tblSteps[[#This Row],[実績開始日]]),INT(tblSteps[[#This Row],[実績開始日]]),1)</f>
        <v>1</v>
      </c>
      <c r="AV3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0" s="58">
        <f>IF(AND(tblSteps[[#This Row],[集計対象]]=1,tblSteps[[#This Row],[完了]]=0,tblSteps[[#This Row],[日付OK]]=1),INT(tblSteps[[#This Row],[計画終了日]])+1,1)</f>
        <v>46301</v>
      </c>
      <c r="AX3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0" s="58">
        <f>IF(ISNUMBER(tblSteps[[#This Row],[顧客納期]]),INT(tblSteps[[#This Row],[顧客納期]]),0)</f>
        <v>46346</v>
      </c>
      <c r="AZ30" s="58">
        <f>IF(tblSteps[[#This Row],[日付OK]]=0,"",MIN(tblSteps[[#This Row],[計開]],IF(ISNUMBER(tblSteps[[#This Row],[実績開始日]]),tblSteps[[#This Row],[実開]],tblSteps[[#This Row],[計開]])))</f>
        <v>46300</v>
      </c>
      <c r="BA30" s="58">
        <f>IF(tblSteps[[#This Row],[日付OK]]=0,"",MAX(tblSteps[[#This Row],[計終]],tblSteps[[#This Row],[実終]],tblSteps[[#This Row],[遅終]]))</f>
        <v>46300</v>
      </c>
      <c r="BB3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0" s="58">
        <f>IF(AND(tblSteps[[#This Row],[集計対象]]=1,tblSteps[[#This Row],[状態]]="未着手"),IF(tblSteps[[#This Row],[日付OK]]=1,INT(tblSteps[[#This Row],[計画開始日]]),99999)*100000+N(tblSteps[[#This Row],[ID番号]]),"")</f>
        <v>4630000025</v>
      </c>
      <c r="BD3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54630000025</v>
      </c>
      <c r="BE3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3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0" s="58">
        <f>IF(tblSteps[[#This Row],[日別対象]]=1,COUNTIFS(tblSteps[日別対象],1,tblSteps[並びキー],"&lt;"&amp;tblSteps[[#This Row],[並びキー]])+1,"")</f>
        <v>22</v>
      </c>
      <c r="BH3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3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0" s="58">
        <f>IF(tblSteps[[#This Row],[週別対象]]=1,COUNTIFS(tblSteps[週別対象],1,tblSteps[並びキー],"&lt;"&amp;tblSteps[[#This Row],[並びキー]])+1,"")</f>
        <v>25</v>
      </c>
      <c r="BK3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30" s="58">
        <f>IFERROR(MATCH(tblSteps[[#This Row],[担当]],lst_Staff,0),99)*1000000000000+N(tblSteps[[#This Row],[開始分]])*10000+MOD(N(tblSteps[[#This Row],[ID番号]]),10000)</f>
        <v>1666726600025</v>
      </c>
      <c r="BM30" s="58">
        <f>IF(tblSteps[[#This Row],[時間割対象]]=1,COUNTIFS(tblSteps[時間割対象],1,tblSteps[時間割キー],"&lt;"&amp;tblSteps[[#This Row],[時間割キー]])+1,"")</f>
        <v>2</v>
      </c>
      <c r="BN30" s="58">
        <f>IF(AND(tblSteps[[#This Row],[表示可能]]=1,tblSteps[[#This Row],[完了]]=0,tblSteps[[#This Row],[重要度]]&gt;0),1,0)</f>
        <v>0</v>
      </c>
      <c r="BO30" s="58">
        <f>tblSteps[[#This Row],[重要度]]*10000000000+IF(tblSteps[[#This Row],[日付OK]]=1,INT(tblSteps[[#This Row],[計画終了日]]),99999)*100000+N(tblSteps[[#This Row],[ID番号]])</f>
        <v>4630000025</v>
      </c>
      <c r="BP30" s="58" t="str">
        <f>IF(tblSteps[[#This Row],[ホーム注意対象]]=1,COUNTIFS(tblSteps[ホーム注意対象],1,tblSteps[ホーム注意キー],"&lt;"&amp;tblSteps[[#This Row],[ホーム注意キー]])+1,"")</f>
        <v/>
      </c>
      <c r="BQ30" s="58">
        <f>IF(tblSteps[[#This Row],[完了遅延日数]]&gt;0,1,0)</f>
        <v>0</v>
      </c>
      <c r="BR30" s="58" t="str">
        <f>IF(tblSteps[[#This Row],[完了遅延対象]]=1,COUNTIFS(tblSteps[完了遅延対象],1,tblSteps[並びキー],"&lt;"&amp;tblSteps[[#This Row],[並びキー]])+1,"")</f>
        <v/>
      </c>
    </row>
    <row r="31">
      <c r="A31" s="48" t="inlineStr">
        <is>
          <t>S0026</t>
        </is>
      </c>
      <c r="B31" s="48" t="inlineStr">
        <is>
          <t>A0021</t>
        </is>
      </c>
      <c r="C31" s="52" t="str">
        <f>IF(tblSteps[[#This Row],[案件ID]]="","",IF(tblSteps[[#This Row],[案件行]]="","（未登録の案件ID）",INDEX(tblProjects[案件名],tblSteps[[#This Row],[案件行]])&amp;""))</f>
        <v>自動倉庫コンベヤ増設工事</v>
      </c>
      <c r="D31" s="49" t="inlineStr">
        <is>
          <t>施工前ミーティング</t>
        </is>
      </c>
      <c r="E31" s="50" t="inlineStr">
        <is>
          <t>高橋</t>
        </is>
      </c>
      <c r="F31" s="50" t="inlineStr">
        <is>
          <t>未着手</t>
        </is>
      </c>
      <c r="G31" s="59" t="n">
        <v>0</v>
      </c>
      <c r="H31" s="51" t="n">
        <v>46300</v>
      </c>
      <c r="I31" s="51" t="n">
        <v>46300</v>
      </c>
      <c r="J31" s="51" t="n"/>
      <c r="K31" s="51" t="n"/>
      <c r="L31" s="51" t="n"/>
      <c r="M3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1" s="57">
        <f>IF(tblSteps[[#This Row],[案件行]]="","",IF(ISNUMBER(INDEX(tblProjects[顧客納期],tblSteps[[#This Row],[案件行]])),INDEX(tblProjects[顧客納期],tblSteps[[#This Row],[案件行]]),""))</f>
        <v>46325.0</v>
      </c>
      <c r="O31" s="60" t="n">
        <v>0.5416666666666666</v>
      </c>
      <c r="P31" s="60" t="n">
        <v>0.5833333333333334</v>
      </c>
      <c r="Q31" s="61" t="n">
        <v>1</v>
      </c>
      <c r="R31" s="48" t="n"/>
      <c r="S31" s="49" t="n"/>
      <c r="T3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1" s="58">
        <f>IFERROR(VALUE(MID(tblSteps[[#This Row],[工程ID]],2,20)),"")</f>
        <v>26</v>
      </c>
      <c r="V31" s="58">
        <f>IF(tblSteps[[#This Row],[案件ID]]="","",IFERROR(MATCH(tblSteps[[#This Row],[案件ID]],tblProjects[案件ID],0),""))</f>
        <v>3</v>
      </c>
      <c r="W31" s="58">
        <f>IF(AND(tblSteps[[#This Row],[工程ID]]&lt;&gt;"",tblSteps[[#This Row],[状態]]&lt;&gt;"取消"),1,0)</f>
        <v>1</v>
      </c>
      <c r="X31" s="58">
        <f>IF(AND(tblSteps[[#This Row],[工程ID]]&lt;&gt;"",tblSteps[[#This Row],[案件行]]&lt;&gt;"",tblSteps[[#This Row],[状態]]&lt;&gt;"取消"),1,0)</f>
        <v>1</v>
      </c>
      <c r="Y31" s="58">
        <f>IF(tblSteps[[#This Row],[状態]]="完了",1,0)</f>
        <v>0</v>
      </c>
      <c r="Z31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31" s="62">
        <f>IF(ISNUMBER(tblSteps[[#This Row],[開始時刻]]),MOD(tblSteps[[#This Row],[開始時刻]],1),DefStart)</f>
        <v>0.5416666666666666</v>
      </c>
      <c r="AB31" s="62">
        <f>IF(ISNUMBER(tblSteps[[#This Row],[終了時刻]]),MOD(tblSteps[[#This Row],[終了時刻]],1),DefEnd)</f>
        <v>0.5833333333333334</v>
      </c>
      <c r="AC31" s="58">
        <f>IF(tblSteps[[#This Row],[日付OK]]=1,ROUND((INT(tblSteps[[#This Row],[計画開始日]])+tblSteps[[#This Row],[開始時刻値]])*1440,0),"")</f>
        <v>66672780</v>
      </c>
      <c r="AD31" s="58">
        <f>IF(tblSteps[[#This Row],[日付OK]]=1,ROUND((INT(tblSteps[[#This Row],[計画終了日]])+tblSteps[[#This Row],[終了時刻値]])*1440,0),"")</f>
        <v>66672840</v>
      </c>
      <c r="AE31" s="58">
        <f>IF(tblSteps[[#This Row],[日付OK]]=0,0,IF(tblSteps[[#This Row],[終了分]]&gt;tblSteps[[#This Row],[開始分]],1,0))</f>
        <v>1</v>
      </c>
      <c r="AF31" s="58">
        <f>IF(ISNUMBER(tblSteps[[#This Row],[進捗率]]),MAX(0,MIN(1,tblSteps[[#This Row],[進捗率]])),0)</f>
        <v>0</v>
      </c>
      <c r="AG31" s="58">
        <f>IF(AND(ISNUMBER(tblSteps[[#This Row],[計画工数（時間）]]),N(tblSteps[[#This Row],[計画工数（時間）]])&gt;0),1,0)</f>
        <v>1</v>
      </c>
      <c r="AH31" s="58">
        <f>tblSteps[[#This Row],[進捗値]]*N(tblSteps[[#This Row],[計画工数（時間）]])</f>
        <v>0</v>
      </c>
      <c r="AI31" s="58">
        <f>IF(ISNUMBER(tblSteps[[#This Row],[完了見込日]]),1,0)</f>
        <v>0</v>
      </c>
      <c r="AJ31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46300.0</v>
      </c>
      <c r="AK31" s="58">
        <f>IF(AND(tblSteps[[#This Row],[集計対象]]=1,tblSteps[[#This Row],[完了]]=0,tblSteps[[#This Row],[日付OK]]=1),MAX(0,RefDate-INT(tblSteps[[#This Row],[計画終了日]])),0)</f>
        <v>0</v>
      </c>
      <c r="AL3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1" s="58">
        <f>IF(AND(tblSteps[[#This Row],[集計対象]]=1,tblSteps[[#This Row],[完了]]=0,tblSteps[[#This Row],[時刻OK]]=1,tblSteps[[#This Row],[担当]]&lt;&gt;""),1,0)</f>
        <v>1</v>
      </c>
      <c r="AP3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1" s="58">
        <f>IF(tblSteps[[#This Row],[日付OK]]=1,INT(tblSteps[[#This Row],[計画開始日]]),1)</f>
        <v>46300</v>
      </c>
      <c r="AT31" s="58">
        <f>IF(tblSteps[[#This Row],[日付OK]]=1,INT(tblSteps[[#This Row],[計画終了日]]),0)</f>
        <v>46300</v>
      </c>
      <c r="AU31" s="58">
        <f>IF(ISNUMBER(tblSteps[[#This Row],[実績開始日]]),INT(tblSteps[[#This Row],[実績開始日]]),1)</f>
        <v>1</v>
      </c>
      <c r="AV3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1" s="58">
        <f>IF(AND(tblSteps[[#This Row],[集計対象]]=1,tblSteps[[#This Row],[完了]]=0,tblSteps[[#This Row],[日付OK]]=1),INT(tblSteps[[#This Row],[計画終了日]])+1,1)</f>
        <v>46301</v>
      </c>
      <c r="AX3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1" s="58">
        <f>IF(ISNUMBER(tblSteps[[#This Row],[顧客納期]]),INT(tblSteps[[#This Row],[顧客納期]]),0)</f>
        <v>46325</v>
      </c>
      <c r="AZ31" s="58">
        <f>IF(tblSteps[[#This Row],[日付OK]]=0,"",MIN(tblSteps[[#This Row],[計開]],IF(ISNUMBER(tblSteps[[#This Row],[実績開始日]]),tblSteps[[#This Row],[実開]],tblSteps[[#This Row],[計開]])))</f>
        <v>46300</v>
      </c>
      <c r="BA31" s="58">
        <f>IF(tblSteps[[#This Row],[日付OK]]=0,"",MAX(tblSteps[[#This Row],[計終]],tblSteps[[#This Row],[実終]],tblSteps[[#This Row],[遅終]]))</f>
        <v>46300</v>
      </c>
      <c r="BB3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1" s="58">
        <f>IF(AND(tblSteps[[#This Row],[集計対象]]=1,tblSteps[[#This Row],[状態]]="未着手"),IF(tblSteps[[#This Row],[日付OK]]=1,INT(tblSteps[[#This Row],[計画開始日]]),99999)*100000+N(tblSteps[[#This Row],[ID番号]]),"")</f>
        <v>4630000026</v>
      </c>
      <c r="BD3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44630000026</v>
      </c>
      <c r="BE3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3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1" s="58">
        <f>IF(tblSteps[[#This Row],[日別対象]]=1,COUNTIFS(tblSteps[日別対象],1,tblSteps[並びキー],"&lt;"&amp;tblSteps[[#This Row],[並びキー]])+1,"")</f>
        <v>15</v>
      </c>
      <c r="BH3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3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1" s="58">
        <f>IF(tblSteps[[#This Row],[週別対象]]=1,COUNTIFS(tblSteps[週別対象],1,tblSteps[並びキー],"&lt;"&amp;tblSteps[[#This Row],[並びキー]])+1,"")</f>
        <v>18</v>
      </c>
      <c r="BK3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31" s="58">
        <f>IFERROR(MATCH(tblSteps[[#This Row],[担当]],lst_Staff,0),99)*1000000000000+N(tblSteps[[#This Row],[開始分]])*10000+MOD(N(tblSteps[[#This Row],[ID番号]]),10000)</f>
        <v>2666727800026</v>
      </c>
      <c r="BM31" s="58">
        <f>IF(tblSteps[[#This Row],[時間割対象]]=1,COUNTIFS(tblSteps[時間割対象],1,tblSteps[時間割キー],"&lt;"&amp;tblSteps[[#This Row],[時間割キー]])+1,"")</f>
        <v>4</v>
      </c>
      <c r="BN31" s="58">
        <f>IF(AND(tblSteps[[#This Row],[表示可能]]=1,tblSteps[[#This Row],[完了]]=0,tblSteps[[#This Row],[重要度]]&gt;0),1,0)</f>
        <v>0</v>
      </c>
      <c r="BO31" s="58">
        <f>tblSteps[[#This Row],[重要度]]*10000000000+IF(tblSteps[[#This Row],[日付OK]]=1,INT(tblSteps[[#This Row],[計画終了日]]),99999)*100000+N(tblSteps[[#This Row],[ID番号]])</f>
        <v>4630000026</v>
      </c>
      <c r="BP31" s="58" t="str">
        <f>IF(tblSteps[[#This Row],[ホーム注意対象]]=1,COUNTIFS(tblSteps[ホーム注意対象],1,tblSteps[ホーム注意キー],"&lt;"&amp;tblSteps[[#This Row],[ホーム注意キー]])+1,"")</f>
        <v/>
      </c>
      <c r="BQ31" s="58">
        <f>IF(tblSteps[[#This Row],[完了遅延日数]]&gt;0,1,0)</f>
        <v>0</v>
      </c>
      <c r="BR31" s="58" t="str">
        <f>IF(tblSteps[[#This Row],[完了遅延対象]]=1,COUNTIFS(tblSteps[完了遅延対象],1,tblSteps[並びキー],"&lt;"&amp;tblSteps[[#This Row],[並びキー]])+1,"")</f>
        <v/>
      </c>
    </row>
    <row r="32">
      <c r="A32" s="48" t="inlineStr">
        <is>
          <t>S0027</t>
        </is>
      </c>
      <c r="B32" s="48" t="inlineStr">
        <is>
          <t>A0008</t>
        </is>
      </c>
      <c r="C32" s="52" t="str">
        <f>IF(tblSteps[[#This Row],[案件ID]]="","",IF(tblSteps[[#This Row],[案件行]]="","（未登録の案件ID）",INDEX(tblProjects[案件名],tblSteps[[#This Row],[案件行]])&amp;""))</f>
        <v>工作機械の搬入・据付</v>
      </c>
      <c r="D32" s="49" t="inlineStr">
        <is>
          <t>基礎の出来形確認</t>
        </is>
      </c>
      <c r="E32" s="50" t="inlineStr">
        <is>
          <t>田中</t>
        </is>
      </c>
      <c r="F32" s="50" t="inlineStr">
        <is>
          <t>未着手</t>
        </is>
      </c>
      <c r="G32" s="59" t="n">
        <v>0</v>
      </c>
      <c r="H32" s="51" t="n">
        <v>46300</v>
      </c>
      <c r="I32" s="51" t="n">
        <v>46300</v>
      </c>
      <c r="J32" s="51" t="n"/>
      <c r="K32" s="51" t="n"/>
      <c r="L32" s="51" t="n"/>
      <c r="M3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2" s="57">
        <f>IF(tblSteps[[#This Row],[案件行]]="","",IF(ISNUMBER(INDEX(tblProjects[顧客納期],tblSteps[[#This Row],[案件行]])),INDEX(tblProjects[顧客納期],tblSteps[[#This Row],[案件行]]),""))</f>
        <v>46311.0</v>
      </c>
      <c r="O32" s="60" t="n">
        <v>0.625</v>
      </c>
      <c r="P32" s="60" t="n">
        <v>0.6875</v>
      </c>
      <c r="Q32" s="61" t="n">
        <v>1.5</v>
      </c>
      <c r="R32" s="48" t="n"/>
      <c r="S32" s="49" t="n"/>
      <c r="T3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2" s="58">
        <f>IFERROR(VALUE(MID(tblSteps[[#This Row],[工程ID]],2,20)),"")</f>
        <v>27</v>
      </c>
      <c r="V32" s="58">
        <f>IF(tblSteps[[#This Row],[案件ID]]="","",IFERROR(MATCH(tblSteps[[#This Row],[案件ID]],tblProjects[案件ID],0),""))</f>
        <v>1</v>
      </c>
      <c r="W32" s="58">
        <f>IF(AND(tblSteps[[#This Row],[工程ID]]&lt;&gt;"",tblSteps[[#This Row],[状態]]&lt;&gt;"取消"),1,0)</f>
        <v>1</v>
      </c>
      <c r="X32" s="58">
        <f>IF(AND(tblSteps[[#This Row],[工程ID]]&lt;&gt;"",tblSteps[[#This Row],[案件行]]&lt;&gt;"",tblSteps[[#This Row],[状態]]&lt;&gt;"取消"),1,0)</f>
        <v>1</v>
      </c>
      <c r="Y32" s="58">
        <f>IF(tblSteps[[#This Row],[状態]]="完了",1,0)</f>
        <v>0</v>
      </c>
      <c r="Z32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32" s="62">
        <f>IF(ISNUMBER(tblSteps[[#This Row],[開始時刻]]),MOD(tblSteps[[#This Row],[開始時刻]],1),DefStart)</f>
        <v>0.625</v>
      </c>
      <c r="AB32" s="62">
        <f>IF(ISNUMBER(tblSteps[[#This Row],[終了時刻]]),MOD(tblSteps[[#This Row],[終了時刻]],1),DefEnd)</f>
        <v>0.6875</v>
      </c>
      <c r="AC32" s="58">
        <f>IF(tblSteps[[#This Row],[日付OK]]=1,ROUND((INT(tblSteps[[#This Row],[計画開始日]])+tblSteps[[#This Row],[開始時刻値]])*1440,0),"")</f>
        <v>66672900</v>
      </c>
      <c r="AD32" s="58">
        <f>IF(tblSteps[[#This Row],[日付OK]]=1,ROUND((INT(tblSteps[[#This Row],[計画終了日]])+tblSteps[[#This Row],[終了時刻値]])*1440,0),"")</f>
        <v>66672990</v>
      </c>
      <c r="AE32" s="58">
        <f>IF(tblSteps[[#This Row],[日付OK]]=0,0,IF(tblSteps[[#This Row],[終了分]]&gt;tblSteps[[#This Row],[開始分]],1,0))</f>
        <v>1</v>
      </c>
      <c r="AF32" s="58">
        <f>IF(ISNUMBER(tblSteps[[#This Row],[進捗率]]),MAX(0,MIN(1,tblSteps[[#This Row],[進捗率]])),0)</f>
        <v>0</v>
      </c>
      <c r="AG32" s="58">
        <f>IF(AND(ISNUMBER(tblSteps[[#This Row],[計画工数（時間）]]),N(tblSteps[[#This Row],[計画工数（時間）]])&gt;0),1,0)</f>
        <v>1</v>
      </c>
      <c r="AH32" s="58">
        <f>tblSteps[[#This Row],[進捗値]]*N(tblSteps[[#This Row],[計画工数（時間）]])</f>
        <v>0</v>
      </c>
      <c r="AI32" s="58">
        <f>IF(ISNUMBER(tblSteps[[#This Row],[完了見込日]]),1,0)</f>
        <v>0</v>
      </c>
      <c r="AJ32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46300.0</v>
      </c>
      <c r="AK32" s="58">
        <f>IF(AND(tblSteps[[#This Row],[集計対象]]=1,tblSteps[[#This Row],[完了]]=0,tblSteps[[#This Row],[日付OK]]=1),MAX(0,RefDate-INT(tblSteps[[#This Row],[計画終了日]])),0)</f>
        <v>0</v>
      </c>
      <c r="AL3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2" s="58">
        <f>IF(AND(tblSteps[[#This Row],[集計対象]]=1,tblSteps[[#This Row],[完了]]=0,tblSteps[[#This Row],[時刻OK]]=1,tblSteps[[#This Row],[担当]]&lt;&gt;""),1,0)</f>
        <v>1</v>
      </c>
      <c r="AP3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2" s="58">
        <f>IF(tblSteps[[#This Row],[日付OK]]=1,INT(tblSteps[[#This Row],[計画開始日]]),1)</f>
        <v>46300</v>
      </c>
      <c r="AT32" s="58">
        <f>IF(tblSteps[[#This Row],[日付OK]]=1,INT(tblSteps[[#This Row],[計画終了日]]),0)</f>
        <v>46300</v>
      </c>
      <c r="AU32" s="58">
        <f>IF(ISNUMBER(tblSteps[[#This Row],[実績開始日]]),INT(tblSteps[[#This Row],[実績開始日]]),1)</f>
        <v>1</v>
      </c>
      <c r="AV3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2" s="58">
        <f>IF(AND(tblSteps[[#This Row],[集計対象]]=1,tblSteps[[#This Row],[完了]]=0,tblSteps[[#This Row],[日付OK]]=1),INT(tblSteps[[#This Row],[計画終了日]])+1,1)</f>
        <v>46301</v>
      </c>
      <c r="AX3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2" s="58">
        <f>IF(ISNUMBER(tblSteps[[#This Row],[顧客納期]]),INT(tblSteps[[#This Row],[顧客納期]]),0)</f>
        <v>46311</v>
      </c>
      <c r="AZ32" s="58">
        <f>IF(tblSteps[[#This Row],[日付OK]]=0,"",MIN(tblSteps[[#This Row],[計開]],IF(ISNUMBER(tblSteps[[#This Row],[実績開始日]]),tblSteps[[#This Row],[実開]],tblSteps[[#This Row],[計開]])))</f>
        <v>46300</v>
      </c>
      <c r="BA32" s="58">
        <f>IF(tblSteps[[#This Row],[日付OK]]=0,"",MAX(tblSteps[[#This Row],[計終]],tblSteps[[#This Row],[実終]],tblSteps[[#This Row],[遅終]]))</f>
        <v>46300</v>
      </c>
      <c r="BB3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2" s="58">
        <f>IF(AND(tblSteps[[#This Row],[集計対象]]=1,tblSteps[[#This Row],[状態]]="未着手"),IF(tblSteps[[#This Row],[日付OK]]=1,INT(tblSteps[[#This Row],[計画開始日]]),99999)*100000+N(tblSteps[[#This Row],[ID番号]]),"")</f>
        <v>4630000027</v>
      </c>
      <c r="BD3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34630000027</v>
      </c>
      <c r="BE3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3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2" s="58">
        <f>IF(tblSteps[[#This Row],[日別対象]]=1,COUNTIFS(tblSteps[日別対象],1,tblSteps[並びキー],"&lt;"&amp;tblSteps[[#This Row],[並びキー]])+1,"")</f>
        <v>9</v>
      </c>
      <c r="BH3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3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2" s="58">
        <f>IF(tblSteps[[#This Row],[週別対象]]=1,COUNTIFS(tblSteps[週別対象],1,tblSteps[並びキー],"&lt;"&amp;tblSteps[[#This Row],[並びキー]])+1,"")</f>
        <v>11</v>
      </c>
      <c r="BK3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1</v>
      </c>
      <c r="BL32" s="58">
        <f>IFERROR(MATCH(tblSteps[[#This Row],[担当]],lst_Staff,0),99)*1000000000000+N(tblSteps[[#This Row],[開始分]])*10000+MOD(N(tblSteps[[#This Row],[ID番号]]),10000)</f>
        <v>1666729000027</v>
      </c>
      <c r="BM32" s="58">
        <f>IF(tblSteps[[#This Row],[時間割対象]]=1,COUNTIFS(tblSteps[時間割対象],1,tblSteps[時間割キー],"&lt;"&amp;tblSteps[[#This Row],[時間割キー]])+1,"")</f>
        <v>3</v>
      </c>
      <c r="BN32" s="58">
        <f>IF(AND(tblSteps[[#This Row],[表示可能]]=1,tblSteps[[#This Row],[完了]]=0,tblSteps[[#This Row],[重要度]]&gt;0),1,0)</f>
        <v>0</v>
      </c>
      <c r="BO32" s="58">
        <f>tblSteps[[#This Row],[重要度]]*10000000000+IF(tblSteps[[#This Row],[日付OK]]=1,INT(tblSteps[[#This Row],[計画終了日]]),99999)*100000+N(tblSteps[[#This Row],[ID番号]])</f>
        <v>4630000027</v>
      </c>
      <c r="BP32" s="58" t="str">
        <f>IF(tblSteps[[#This Row],[ホーム注意対象]]=1,COUNTIFS(tblSteps[ホーム注意対象],1,tblSteps[ホーム注意キー],"&lt;"&amp;tblSteps[[#This Row],[ホーム注意キー]])+1,"")</f>
        <v/>
      </c>
      <c r="BQ32" s="58">
        <f>IF(tblSteps[[#This Row],[完了遅延日数]]&gt;0,1,0)</f>
        <v>0</v>
      </c>
      <c r="BR32" s="58" t="str">
        <f>IF(tblSteps[[#This Row],[完了遅延対象]]=1,COUNTIFS(tblSteps[完了遅延対象],1,tblSteps[並びキー],"&lt;"&amp;tblSteps[[#This Row],[並びキー]])+1,"")</f>
        <v/>
      </c>
    </row>
    <row r="33">
      <c r="A33" s="48" t="inlineStr">
        <is>
          <t>S0028</t>
        </is>
      </c>
      <c r="B33" s="48" t="inlineStr">
        <is>
          <t>A0008</t>
        </is>
      </c>
      <c r="C33" s="52" t="str">
        <f>IF(tblSteps[[#This Row],[案件ID]]="","",IF(tblSteps[[#This Row],[案件行]]="","（未登録の案件ID）",INDEX(tblProjects[案件名],tblSteps[[#This Row],[案件行]])&amp;""))</f>
        <v>工作機械の搬入・据付</v>
      </c>
      <c r="D33" s="49" t="inlineStr">
        <is>
          <t>工程会議（中止）</t>
        </is>
      </c>
      <c r="E33" s="50" t="inlineStr">
        <is>
          <t>高橋</t>
        </is>
      </c>
      <c r="F33" s="50" t="inlineStr">
        <is>
          <t>取消</t>
        </is>
      </c>
      <c r="G33" s="59" t="n">
        <v>0</v>
      </c>
      <c r="H33" s="51" t="n">
        <v>46301</v>
      </c>
      <c r="I33" s="51" t="n">
        <v>46301</v>
      </c>
      <c r="J33" s="51" t="n"/>
      <c r="K33" s="51" t="n"/>
      <c r="L33" s="51" t="n"/>
      <c r="M3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取消</v>
      </c>
      <c r="N33" s="57">
        <f>IF(tblSteps[[#This Row],[案件行]]="","",IF(ISNUMBER(INDEX(tblProjects[顧客納期],tblSteps[[#This Row],[案件行]])),INDEX(tblProjects[顧客納期],tblSteps[[#This Row],[案件行]]),""))</f>
        <v>46311.0</v>
      </c>
      <c r="O33" s="60" t="n">
        <v>0.4166666666666667</v>
      </c>
      <c r="P33" s="60" t="n">
        <v>0.4583333333333333</v>
      </c>
      <c r="Q33" s="61" t="n">
        <v>1</v>
      </c>
      <c r="R33" s="48" t="n"/>
      <c r="S33" s="49" t="inlineStr">
        <is>
          <t>取消の例</t>
        </is>
      </c>
      <c r="T3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3" s="58">
        <f>IFERROR(VALUE(MID(tblSteps[[#This Row],[工程ID]],2,20)),"")</f>
        <v>28</v>
      </c>
      <c r="V33" s="58">
        <f>IF(tblSteps[[#This Row],[案件ID]]="","",IFERROR(MATCH(tblSteps[[#This Row],[案件ID]],tblProjects[案件ID],0),""))</f>
        <v>1</v>
      </c>
      <c r="W33" s="58">
        <f>IF(AND(tblSteps[[#This Row],[工程ID]]&lt;&gt;"",tblSteps[[#This Row],[状態]]&lt;&gt;"取消"),1,0)</f>
        <v>0</v>
      </c>
      <c r="X33" s="58">
        <f>IF(AND(tblSteps[[#This Row],[工程ID]]&lt;&gt;"",tblSteps[[#This Row],[案件行]]&lt;&gt;"",tblSteps[[#This Row],[状態]]&lt;&gt;"取消"),1,0)</f>
        <v>0</v>
      </c>
      <c r="Y33" s="58">
        <f>IF(tblSteps[[#This Row],[状態]]="完了",1,0)</f>
        <v>0</v>
      </c>
      <c r="Z33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33" s="62">
        <f>IF(ISNUMBER(tblSteps[[#This Row],[開始時刻]]),MOD(tblSteps[[#This Row],[開始時刻]],1),DefStart)</f>
        <v>0.4166666666666667</v>
      </c>
      <c r="AB33" s="62">
        <f>IF(ISNUMBER(tblSteps[[#This Row],[終了時刻]]),MOD(tblSteps[[#This Row],[終了時刻]],1),DefEnd)</f>
        <v>0.4583333333333333</v>
      </c>
      <c r="AC33" s="58">
        <f>IF(tblSteps[[#This Row],[日付OK]]=1,ROUND((INT(tblSteps[[#This Row],[計画開始日]])+tblSteps[[#This Row],[開始時刻値]])*1440,0),"")</f>
        <v>66674040</v>
      </c>
      <c r="AD33" s="58">
        <f>IF(tblSteps[[#This Row],[日付OK]]=1,ROUND((INT(tblSteps[[#This Row],[計画終了日]])+tblSteps[[#This Row],[終了時刻値]])*1440,0),"")</f>
        <v>66674100</v>
      </c>
      <c r="AE33" s="58">
        <f>IF(tblSteps[[#This Row],[日付OK]]=0,0,IF(tblSteps[[#This Row],[終了分]]&gt;tblSteps[[#This Row],[開始分]],1,0))</f>
        <v>1</v>
      </c>
      <c r="AF33" s="58">
        <f>IF(ISNUMBER(tblSteps[[#This Row],[進捗率]]),MAX(0,MIN(1,tblSteps[[#This Row],[進捗率]])),0)</f>
        <v>0</v>
      </c>
      <c r="AG33" s="58">
        <f>IF(AND(ISNUMBER(tblSteps[[#This Row],[計画工数（時間）]]),N(tblSteps[[#This Row],[計画工数（時間）]])&gt;0),1,0)</f>
        <v>1</v>
      </c>
      <c r="AH33" s="58">
        <f>tblSteps[[#This Row],[進捗値]]*N(tblSteps[[#This Row],[計画工数（時間）]])</f>
        <v>0</v>
      </c>
      <c r="AI33" s="58">
        <f>IF(ISNUMBER(tblSteps[[#This Row],[完了見込日]]),1,0)</f>
        <v>0</v>
      </c>
      <c r="AJ3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3" s="58">
        <f>IF(AND(tblSteps[[#This Row],[集計対象]]=1,tblSteps[[#This Row],[完了]]=0,tblSteps[[#This Row],[日付OK]]=1),MAX(0,RefDate-INT(tblSteps[[#This Row],[計画終了日]])),0)</f>
        <v>0</v>
      </c>
      <c r="AL3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3" s="58">
        <f>IF(AND(tblSteps[[#This Row],[集計対象]]=1,tblSteps[[#This Row],[完了]]=0,tblSteps[[#This Row],[時刻OK]]=1,tblSteps[[#This Row],[担当]]&lt;&gt;""),1,0)</f>
        <v>0</v>
      </c>
      <c r="AP3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取消</v>
      </c>
      <c r="AR3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3" s="58">
        <f>IF(tblSteps[[#This Row],[日付OK]]=1,INT(tblSteps[[#This Row],[計画開始日]]),1)</f>
        <v>46301</v>
      </c>
      <c r="AT33" s="58">
        <f>IF(tblSteps[[#This Row],[日付OK]]=1,INT(tblSteps[[#This Row],[計画終了日]]),0)</f>
        <v>46301</v>
      </c>
      <c r="AU33" s="58">
        <f>IF(ISNUMBER(tblSteps[[#This Row],[実績開始日]]),INT(tblSteps[[#This Row],[実績開始日]]),1)</f>
        <v>1</v>
      </c>
      <c r="AV3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3" s="58">
        <f>IF(AND(tblSteps[[#This Row],[集計対象]]=1,tblSteps[[#This Row],[完了]]=0,tblSteps[[#This Row],[日付OK]]=1),INT(tblSteps[[#This Row],[計画終了日]])+1,1)</f>
        <v>1</v>
      </c>
      <c r="AX3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3" s="58">
        <f>IF(ISNUMBER(tblSteps[[#This Row],[顧客納期]]),INT(tblSteps[[#This Row],[顧客納期]]),0)</f>
        <v>46311</v>
      </c>
      <c r="AZ33" s="58">
        <f>IF(tblSteps[[#This Row],[日付OK]]=0,"",MIN(tblSteps[[#This Row],[計開]],IF(ISNUMBER(tblSteps[[#This Row],[実績開始日]]),tblSteps[[#This Row],[実開]],tblSteps[[#This Row],[計開]])))</f>
        <v>46301</v>
      </c>
      <c r="BA33" s="58">
        <f>IF(tblSteps[[#This Row],[日付OK]]=0,"",MAX(tblSteps[[#This Row],[計終]],tblSteps[[#This Row],[実終]],tblSteps[[#This Row],[遅終]]))</f>
        <v>46301</v>
      </c>
      <c r="BB3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34630100028</v>
      </c>
      <c r="BE3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3" s="58" t="str">
        <f>IF(tblSteps[[#This Row],[日別対象]]=1,COUNTIFS(tblSteps[日別対象],1,tblSteps[並びキー],"&lt;"&amp;tblSteps[[#This Row],[並びキー]])+1,"")</f>
        <v/>
      </c>
      <c r="BH3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3" s="58" t="str">
        <f>IF(tblSteps[[#This Row],[週別対象]]=1,COUNTIFS(tblSteps[週別対象],1,tblSteps[並びキー],"&lt;"&amp;tblSteps[[#This Row],[並びキー]])+1,"")</f>
        <v/>
      </c>
      <c r="BK3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3" s="58">
        <f>IFERROR(MATCH(tblSteps[[#This Row],[担当]],lst_Staff,0),99)*1000000000000+N(tblSteps[[#This Row],[開始分]])*10000+MOD(N(tblSteps[[#This Row],[ID番号]]),10000)</f>
        <v>2666740400028</v>
      </c>
      <c r="BM33" s="58" t="str">
        <f>IF(tblSteps[[#This Row],[時間割対象]]=1,COUNTIFS(tblSteps[時間割対象],1,tblSteps[時間割キー],"&lt;"&amp;tblSteps[[#This Row],[時間割キー]])+1,"")</f>
        <v/>
      </c>
      <c r="BN33" s="58">
        <f>IF(AND(tblSteps[[#This Row],[表示可能]]=1,tblSteps[[#This Row],[完了]]=0,tblSteps[[#This Row],[重要度]]&gt;0),1,0)</f>
        <v>0</v>
      </c>
      <c r="BO33" s="58">
        <f>tblSteps[[#This Row],[重要度]]*10000000000+IF(tblSteps[[#This Row],[日付OK]]=1,INT(tblSteps[[#This Row],[計画終了日]]),99999)*100000+N(tblSteps[[#This Row],[ID番号]])</f>
        <v>4630100028</v>
      </c>
      <c r="BP33" s="58" t="str">
        <f>IF(tblSteps[[#This Row],[ホーム注意対象]]=1,COUNTIFS(tblSteps[ホーム注意対象],1,tblSteps[ホーム注意キー],"&lt;"&amp;tblSteps[[#This Row],[ホーム注意キー]])+1,"")</f>
        <v/>
      </c>
      <c r="BQ33" s="58">
        <f>IF(tblSteps[[#This Row],[完了遅延日数]]&gt;0,1,0)</f>
        <v>0</v>
      </c>
      <c r="BR33" s="58" t="str">
        <f>IF(tblSteps[[#This Row],[完了遅延対象]]=1,COUNTIFS(tblSteps[完了遅延対象],1,tblSteps[並びキー],"&lt;"&amp;tblSteps[[#This Row],[並びキー]])+1,"")</f>
        <v/>
      </c>
    </row>
    <row r="34">
      <c r="A34" s="48" t="inlineStr">
        <is>
          <t>S0029</t>
        </is>
      </c>
      <c r="B34" s="48" t="inlineStr">
        <is>
          <t>A0023</t>
        </is>
      </c>
      <c r="C34" s="52" t="str">
        <f>IF(tblSteps[[#This Row],[案件ID]]="","",IF(tblSteps[[#This Row],[案件行]]="","（未登録の案件ID）",INDEX(tblProjects[案件名],tblSteps[[#This Row],[案件行]])&amp;""))</f>
        <v>定期保守点検（年2回）</v>
      </c>
      <c r="D34" s="49" t="inlineStr">
        <is>
          <t>報告会</t>
        </is>
      </c>
      <c r="E34" s="50" t="inlineStr">
        <is>
          <t>渡辺</t>
        </is>
      </c>
      <c r="F34" s="50" t="inlineStr">
        <is>
          <t>未着手</t>
        </is>
      </c>
      <c r="G34" s="59" t="n">
        <v>0</v>
      </c>
      <c r="H34" s="51" t="n">
        <v>46302</v>
      </c>
      <c r="I34" s="51" t="n">
        <v>46302</v>
      </c>
      <c r="J34" s="51" t="n"/>
      <c r="K34" s="51" t="n"/>
      <c r="L34" s="51" t="n"/>
      <c r="M3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顧客納期より遅い見込</v>
      </c>
      <c r="N34" s="57">
        <f>IF(tblSteps[[#This Row],[案件行]]="","",IF(ISNUMBER(INDEX(tblProjects[顧客納期],tblSteps[[#This Row],[案件行]])),INDEX(tblProjects[顧客納期],tblSteps[[#This Row],[案件行]]),""))</f>
        <v>46297.0</v>
      </c>
      <c r="O34" s="60" t="n">
        <v>0.5833333333333334</v>
      </c>
      <c r="P34" s="60" t="n">
        <v>0.625</v>
      </c>
      <c r="Q34" s="61" t="n"/>
      <c r="R34" s="48" t="inlineStr">
        <is>
          <t>S0023</t>
        </is>
      </c>
      <c r="S34" s="49" t="inlineStr">
        <is>
          <t>工数未入力の例（この案件は工程の単純平均）</t>
        </is>
      </c>
      <c r="T3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4" s="58">
        <f>IFERROR(VALUE(MID(tblSteps[[#This Row],[工程ID]],2,20)),"")</f>
        <v>29</v>
      </c>
      <c r="V34" s="58">
        <f>IF(tblSteps[[#This Row],[案件ID]]="","",IFERROR(MATCH(tblSteps[[#This Row],[案件ID]],tblProjects[案件ID],0),""))</f>
        <v>5</v>
      </c>
      <c r="W34" s="58">
        <f>IF(AND(tblSteps[[#This Row],[工程ID]]&lt;&gt;"",tblSteps[[#This Row],[状態]]&lt;&gt;"取消"),1,0)</f>
        <v>1</v>
      </c>
      <c r="X34" s="58">
        <f>IF(AND(tblSteps[[#This Row],[工程ID]]&lt;&gt;"",tblSteps[[#This Row],[案件行]]&lt;&gt;"",tblSteps[[#This Row],[状態]]&lt;&gt;"取消"),1,0)</f>
        <v>1</v>
      </c>
      <c r="Y34" s="58">
        <f>IF(tblSteps[[#This Row],[状態]]="完了",1,0)</f>
        <v>0</v>
      </c>
      <c r="Z34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34" s="62">
        <f>IF(ISNUMBER(tblSteps[[#This Row],[開始時刻]]),MOD(tblSteps[[#This Row],[開始時刻]],1),DefStart)</f>
        <v>0.5833333333333334</v>
      </c>
      <c r="AB34" s="62">
        <f>IF(ISNUMBER(tblSteps[[#This Row],[終了時刻]]),MOD(tblSteps[[#This Row],[終了時刻]],1),DefEnd)</f>
        <v>0.625</v>
      </c>
      <c r="AC34" s="58">
        <f>IF(tblSteps[[#This Row],[日付OK]]=1,ROUND((INT(tblSteps[[#This Row],[計画開始日]])+tblSteps[[#This Row],[開始時刻値]])*1440,0),"")</f>
        <v>66675720</v>
      </c>
      <c r="AD34" s="58">
        <f>IF(tblSteps[[#This Row],[日付OK]]=1,ROUND((INT(tblSteps[[#This Row],[計画終了日]])+tblSteps[[#This Row],[終了時刻値]])*1440,0),"")</f>
        <v>66675780</v>
      </c>
      <c r="AE34" s="58">
        <f>IF(tblSteps[[#This Row],[日付OK]]=0,0,IF(tblSteps[[#This Row],[終了分]]&gt;tblSteps[[#This Row],[開始分]],1,0))</f>
        <v>1</v>
      </c>
      <c r="AF34" s="58">
        <f>IF(ISNUMBER(tblSteps[[#This Row],[進捗率]]),MAX(0,MIN(1,tblSteps[[#This Row],[進捗率]])),0)</f>
        <v>0</v>
      </c>
      <c r="AG34" s="58">
        <f>IF(AND(ISNUMBER(tblSteps[[#This Row],[計画工数（時間）]]),N(tblSteps[[#This Row],[計画工数（時間）]])&gt;0),1,0)</f>
        <v>0</v>
      </c>
      <c r="AH34" s="58">
        <f>tblSteps[[#This Row],[進捗値]]*N(tblSteps[[#This Row],[計画工数（時間）]])</f>
        <v>0</v>
      </c>
      <c r="AI34" s="58">
        <f>IF(ISNUMBER(tblSteps[[#This Row],[完了見込日]]),1,0)</f>
        <v>0</v>
      </c>
      <c r="AJ34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46302.0</v>
      </c>
      <c r="AK34" s="58">
        <f>IF(AND(tblSteps[[#This Row],[集計対象]]=1,tblSteps[[#This Row],[完了]]=0,tblSteps[[#This Row],[日付OK]]=1),MAX(0,RefDate-INT(tblSteps[[#This Row],[計画終了日]])),0)</f>
        <v>0</v>
      </c>
      <c r="AL3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1</v>
      </c>
      <c r="AO34" s="58">
        <f>IF(AND(tblSteps[[#This Row],[集計対象]]=1,tblSteps[[#This Row],[完了]]=0,tblSteps[[#This Row],[時刻OK]]=1,tblSteps[[#This Row],[担当]]&lt;&gt;""),1,0)</f>
        <v>1</v>
      </c>
      <c r="AP3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納期遅れ見込</v>
      </c>
      <c r="AR3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3</v>
      </c>
      <c r="AS34" s="58">
        <f>IF(tblSteps[[#This Row],[日付OK]]=1,INT(tblSteps[[#This Row],[計画開始日]]),1)</f>
        <v>46302</v>
      </c>
      <c r="AT34" s="58">
        <f>IF(tblSteps[[#This Row],[日付OK]]=1,INT(tblSteps[[#This Row],[計画終了日]]),0)</f>
        <v>46302</v>
      </c>
      <c r="AU34" s="58">
        <f>IF(ISNUMBER(tblSteps[[#This Row],[実績開始日]]),INT(tblSteps[[#This Row],[実績開始日]]),1)</f>
        <v>1</v>
      </c>
      <c r="AV3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4" s="58">
        <f>IF(AND(tblSteps[[#This Row],[集計対象]]=1,tblSteps[[#This Row],[完了]]=0,tblSteps[[#This Row],[日付OK]]=1),INT(tblSteps[[#This Row],[計画終了日]])+1,1)</f>
        <v>46303</v>
      </c>
      <c r="AX3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4" s="58">
        <f>IF(ISNUMBER(tblSteps[[#This Row],[顧客納期]]),INT(tblSteps[[#This Row],[顧客納期]]),0)</f>
        <v>46297</v>
      </c>
      <c r="AZ34" s="58">
        <f>IF(tblSteps[[#This Row],[日付OK]]=0,"",MIN(tblSteps[[#This Row],[計開]],IF(ISNUMBER(tblSteps[[#This Row],[実績開始日]]),tblSteps[[#This Row],[実開]],tblSteps[[#This Row],[計開]])))</f>
        <v>46302</v>
      </c>
      <c r="BA34" s="58">
        <f>IF(tblSteps[[#This Row],[日付OK]]=0,"",MAX(tblSteps[[#This Row],[計終]],tblSteps[[#This Row],[実終]],tblSteps[[#This Row],[遅終]]))</f>
        <v>46302</v>
      </c>
      <c r="BB3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4" s="58">
        <f>IF(AND(tblSteps[[#This Row],[集計対象]]=1,tblSteps[[#This Row],[状態]]="未着手"),IF(tblSteps[[#This Row],[日付OK]]=1,INT(tblSteps[[#This Row],[計画開始日]]),99999)*100000+N(tblSteps[[#This Row],[ID番号]]),"")</f>
        <v>4630200029</v>
      </c>
      <c r="BD3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14630200029</v>
      </c>
      <c r="BE3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3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4" s="58">
        <f>IF(tblSteps[[#This Row],[日別対象]]=1,COUNTIFS(tblSteps[日別対象],1,tblSteps[並びキー],"&lt;"&amp;tblSteps[[#This Row],[並びキー]])+1,"")</f>
        <v>3</v>
      </c>
      <c r="BH3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3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4" s="58">
        <f>IF(tblSteps[[#This Row],[週別対象]]=1,COUNTIFS(tblSteps[週別対象],1,tblSteps[並びキー],"&lt;"&amp;tblSteps[[#This Row],[並びキー]])+1,"")</f>
        <v>4</v>
      </c>
      <c r="BK3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4" s="58">
        <f>IFERROR(MATCH(tblSteps[[#This Row],[担当]],lst_Staff,0),99)*1000000000000+N(tblSteps[[#This Row],[開始分]])*10000+MOD(N(tblSteps[[#This Row],[ID番号]]),10000)</f>
        <v>4666757200029</v>
      </c>
      <c r="BM34" s="58" t="str">
        <f>IF(tblSteps[[#This Row],[時間割対象]]=1,COUNTIFS(tblSteps[時間割対象],1,tblSteps[時間割キー],"&lt;"&amp;tblSteps[[#This Row],[時間割キー]])+1,"")</f>
        <v/>
      </c>
      <c r="BN34" s="58">
        <f>IF(AND(tblSteps[[#This Row],[表示可能]]=1,tblSteps[[#This Row],[完了]]=0,tblSteps[[#This Row],[重要度]]&gt;0),1,0)</f>
        <v>1</v>
      </c>
      <c r="BO34" s="58">
        <f>tblSteps[[#This Row],[重要度]]*10000000000+IF(tblSteps[[#This Row],[日付OK]]=1,INT(tblSteps[[#This Row],[計画終了日]]),99999)*100000+N(tblSteps[[#This Row],[ID番号]])</f>
        <v>34630200029</v>
      </c>
      <c r="BP34" s="58">
        <f>IF(tblSteps[[#This Row],[ホーム注意対象]]=1,COUNTIFS(tblSteps[ホーム注意対象],1,tblSteps[ホーム注意キー],"&lt;"&amp;tblSteps[[#This Row],[ホーム注意キー]])+1,"")</f>
        <v>3</v>
      </c>
      <c r="BQ34" s="58">
        <f>IF(tblSteps[[#This Row],[完了遅延日数]]&gt;0,1,0)</f>
        <v>0</v>
      </c>
      <c r="BR34" s="58" t="str">
        <f>IF(tblSteps[[#This Row],[完了遅延対象]]=1,COUNTIFS(tblSteps[完了遅延対象],1,tblSteps[並びキー],"&lt;"&amp;tblSteps[[#This Row],[並びキー]])+1,"")</f>
        <v/>
      </c>
    </row>
    <row r="35">
      <c r="A35" s="48" t="inlineStr">
        <is>
          <t>S0030</t>
        </is>
      </c>
      <c r="B35" s="48" t="inlineStr">
        <is>
          <t>A0022</t>
        </is>
      </c>
      <c r="C35" s="52" t="str">
        <f>IF(tblSteps[[#This Row],[案件ID]]="","",IF(tblSteps[[#This Row],[案件行]]="","（未登録の案件ID）",INDEX(tblProjects[案件名],tblSteps[[#This Row],[案件行]])&amp;""))</f>
        <v>制御盤更新工事</v>
      </c>
      <c r="D35" s="49" t="inlineStr">
        <is>
          <t>追加工事の現地調査</t>
        </is>
      </c>
      <c r="E35" s="50" t="inlineStr">
        <is>
          <t>田中</t>
        </is>
      </c>
      <c r="F35" s="50" t="inlineStr">
        <is>
          <t>未着手</t>
        </is>
      </c>
      <c r="G35" s="59" t="n">
        <v>0</v>
      </c>
      <c r="H35" s="51" t="n">
        <v>46303</v>
      </c>
      <c r="I35" s="51" t="n">
        <v>46303</v>
      </c>
      <c r="J35" s="51" t="n"/>
      <c r="K35" s="51" t="n"/>
      <c r="L35" s="51" t="n"/>
      <c r="M3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>予定重複の可能性（田中）</v>
      </c>
      <c r="N35" s="57">
        <f>IF(tblSteps[[#This Row],[案件行]]="","",IF(ISNUMBER(INDEX(tblProjects[顧客納期],tblSteps[[#This Row],[案件行]])),INDEX(tblProjects[顧客納期],tblSteps[[#This Row],[案件行]]),""))</f>
        <v>46346.0</v>
      </c>
      <c r="O35" s="60" t="n">
        <v>0.5416666666666666</v>
      </c>
      <c r="P35" s="60" t="n">
        <v>0.625</v>
      </c>
      <c r="Q35" s="61" t="n">
        <v>2</v>
      </c>
      <c r="R35" s="48" t="n"/>
      <c r="S35" s="49" t="inlineStr">
        <is>
          <t>機械搬入（S0004）と重なる</t>
        </is>
      </c>
      <c r="T3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5" s="58">
        <f>IFERROR(VALUE(MID(tblSteps[[#This Row],[工程ID]],2,20)),"")</f>
        <v>30</v>
      </c>
      <c r="V35" s="58">
        <f>IF(tblSteps[[#This Row],[案件ID]]="","",IFERROR(MATCH(tblSteps[[#This Row],[案件ID]],tblProjects[案件ID],0),""))</f>
        <v>4</v>
      </c>
      <c r="W35" s="58">
        <f>IF(AND(tblSteps[[#This Row],[工程ID]]&lt;&gt;"",tblSteps[[#This Row],[状態]]&lt;&gt;"取消"),1,0)</f>
        <v>1</v>
      </c>
      <c r="X35" s="58">
        <f>IF(AND(tblSteps[[#This Row],[工程ID]]&lt;&gt;"",tblSteps[[#This Row],[案件行]]&lt;&gt;"",tblSteps[[#This Row],[状態]]&lt;&gt;"取消"),1,0)</f>
        <v>1</v>
      </c>
      <c r="Y35" s="58">
        <f>IF(tblSteps[[#This Row],[状態]]="完了",1,0)</f>
        <v>0</v>
      </c>
      <c r="Z35" s="58">
        <f>IF(AND(ISNUMBER(tblSteps[[#This Row],[計画開始日]]),ISNUMBER(tblSteps[[#This Row],[計画終了日]])),IF(INT(tblSteps[[#This Row],[計画終了日]])&gt;=INT(tblSteps[[#This Row],[計画開始日]]),1,0),0)</f>
        <v>1</v>
      </c>
      <c r="AA35" s="62">
        <f>IF(ISNUMBER(tblSteps[[#This Row],[開始時刻]]),MOD(tblSteps[[#This Row],[開始時刻]],1),DefStart)</f>
        <v>0.5416666666666666</v>
      </c>
      <c r="AB35" s="62">
        <f>IF(ISNUMBER(tblSteps[[#This Row],[終了時刻]]),MOD(tblSteps[[#This Row],[終了時刻]],1),DefEnd)</f>
        <v>0.625</v>
      </c>
      <c r="AC35" s="58">
        <f>IF(tblSteps[[#This Row],[日付OK]]=1,ROUND((INT(tblSteps[[#This Row],[計画開始日]])+tblSteps[[#This Row],[開始時刻値]])*1440,0),"")</f>
        <v>66677100</v>
      </c>
      <c r="AD35" s="58">
        <f>IF(tblSteps[[#This Row],[日付OK]]=1,ROUND((INT(tblSteps[[#This Row],[計画終了日]])+tblSteps[[#This Row],[終了時刻値]])*1440,0),"")</f>
        <v>66677220</v>
      </c>
      <c r="AE35" s="58">
        <f>IF(tblSteps[[#This Row],[日付OK]]=0,0,IF(tblSteps[[#This Row],[終了分]]&gt;tblSteps[[#This Row],[開始分]],1,0))</f>
        <v>1</v>
      </c>
      <c r="AF35" s="58">
        <f>IF(ISNUMBER(tblSteps[[#This Row],[進捗率]]),MAX(0,MIN(1,tblSteps[[#This Row],[進捗率]])),0)</f>
        <v>0</v>
      </c>
      <c r="AG35" s="58">
        <f>IF(AND(ISNUMBER(tblSteps[[#This Row],[計画工数（時間）]]),N(tblSteps[[#This Row],[計画工数（時間）]])&gt;0),1,0)</f>
        <v>1</v>
      </c>
      <c r="AH35" s="58">
        <f>tblSteps[[#This Row],[進捗値]]*N(tblSteps[[#This Row],[計画工数（時間）]])</f>
        <v>0</v>
      </c>
      <c r="AI35" s="58">
        <f>IF(ISNUMBER(tblSteps[[#This Row],[完了見込日]]),1,0)</f>
        <v>0</v>
      </c>
      <c r="AJ35" s="63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>46303.0</v>
      </c>
      <c r="AK35" s="58">
        <f>IF(AND(tblSteps[[#This Row],[集計対象]]=1,tblSteps[[#This Row],[完了]]=0,tblSteps[[#This Row],[日付OK]]=1),MAX(0,RefDate-INT(tblSteps[[#This Row],[計画終了日]])),0)</f>
        <v>0</v>
      </c>
      <c r="AL3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5" s="58">
        <f>IF(AND(tblSteps[[#This Row],[集計対象]]=1,tblSteps[[#This Row],[完了]]=0,tblSteps[[#This Row],[時刻OK]]=1,tblSteps[[#This Row],[担当]]&lt;&gt;""),1,0)</f>
        <v>1</v>
      </c>
      <c r="AP3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1</v>
      </c>
      <c r="AQ3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>重複の可能性</v>
      </c>
      <c r="AR3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5</v>
      </c>
      <c r="AS35" s="58">
        <f>IF(tblSteps[[#This Row],[日付OK]]=1,INT(tblSteps[[#This Row],[計画開始日]]),1)</f>
        <v>46303</v>
      </c>
      <c r="AT35" s="58">
        <f>IF(tblSteps[[#This Row],[日付OK]]=1,INT(tblSteps[[#This Row],[計画終了日]]),0)</f>
        <v>46303</v>
      </c>
      <c r="AU35" s="58">
        <f>IF(ISNUMBER(tblSteps[[#This Row],[実績開始日]]),INT(tblSteps[[#This Row],[実績開始日]]),1)</f>
        <v>1</v>
      </c>
      <c r="AV3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5" s="58">
        <f>IF(AND(tblSteps[[#This Row],[集計対象]]=1,tblSteps[[#This Row],[完了]]=0,tblSteps[[#This Row],[日付OK]]=1),INT(tblSteps[[#This Row],[計画終了日]])+1,1)</f>
        <v>46304</v>
      </c>
      <c r="AX3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5" s="58">
        <f>IF(ISNUMBER(tblSteps[[#This Row],[顧客納期]]),INT(tblSteps[[#This Row],[顧客納期]]),0)</f>
        <v>46346</v>
      </c>
      <c r="AZ35" s="58">
        <f>IF(tblSteps[[#This Row],[日付OK]]=0,"",MIN(tblSteps[[#This Row],[計開]],IF(ISNUMBER(tblSteps[[#This Row],[実績開始日]]),tblSteps[[#This Row],[実開]],tblSteps[[#This Row],[計開]])))</f>
        <v>46303</v>
      </c>
      <c r="BA35" s="58">
        <f>IF(tblSteps[[#This Row],[日付OK]]=0,"",MAX(tblSteps[[#This Row],[計終]],tblSteps[[#This Row],[実終]],tblSteps[[#This Row],[遅終]]))</f>
        <v>46303</v>
      </c>
      <c r="BB3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5" s="58">
        <f>IF(AND(tblSteps[[#This Row],[集計対象]]=1,tblSteps[[#This Row],[状態]]="未着手"),IF(tblSteps[[#This Row],[日付OK]]=1,INT(tblSteps[[#This Row],[計画開始日]]),99999)*100000+N(tblSteps[[#This Row],[ID番号]]),"")</f>
        <v>4630300030</v>
      </c>
      <c r="BD3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54630300030</v>
      </c>
      <c r="BE3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1</v>
      </c>
      <c r="BF3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5" s="58">
        <f>IF(tblSteps[[#This Row],[日別対象]]=1,COUNTIFS(tblSteps[日別対象],1,tblSteps[並びキー],"&lt;"&amp;tblSteps[[#This Row],[並びキー]])+1,"")</f>
        <v>23</v>
      </c>
      <c r="BH3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1</v>
      </c>
      <c r="BI3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5" s="58">
        <f>IF(tblSteps[[#This Row],[週別対象]]=1,COUNTIFS(tblSteps[週別対象],1,tblSteps[並びキー],"&lt;"&amp;tblSteps[[#This Row],[並びキー]])+1,"")</f>
        <v>26</v>
      </c>
      <c r="BK3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5" s="58">
        <f>IFERROR(MATCH(tblSteps[[#This Row],[担当]],lst_Staff,0),99)*1000000000000+N(tblSteps[[#This Row],[開始分]])*10000+MOD(N(tblSteps[[#This Row],[ID番号]]),10000)</f>
        <v>1666771000030</v>
      </c>
      <c r="BM35" s="58" t="str">
        <f>IF(tblSteps[[#This Row],[時間割対象]]=1,COUNTIFS(tblSteps[時間割対象],1,tblSteps[時間割キー],"&lt;"&amp;tblSteps[[#This Row],[時間割キー]])+1,"")</f>
        <v/>
      </c>
      <c r="BN35" s="58">
        <f>IF(AND(tblSteps[[#This Row],[表示可能]]=1,tblSteps[[#This Row],[完了]]=0,tblSteps[[#This Row],[重要度]]&gt;0),1,0)</f>
        <v>1</v>
      </c>
      <c r="BO35" s="58">
        <f>tblSteps[[#This Row],[重要度]]*10000000000+IF(tblSteps[[#This Row],[日付OK]]=1,INT(tblSteps[[#This Row],[計画終了日]]),99999)*100000+N(tblSteps[[#This Row],[ID番号]])</f>
        <v>54630300030</v>
      </c>
      <c r="BP35" s="58">
        <f>IF(tblSteps[[#This Row],[ホーム注意対象]]=1,COUNTIFS(tblSteps[ホーム注意対象],1,tblSteps[ホーム注意キー],"&lt;"&amp;tblSteps[[#This Row],[ホーム注意キー]])+1,"")</f>
        <v>9</v>
      </c>
      <c r="BQ35" s="58">
        <f>IF(tblSteps[[#This Row],[完了遅延日数]]&gt;0,1,0)</f>
        <v>0</v>
      </c>
      <c r="BR35" s="58" t="str">
        <f>IF(tblSteps[[#This Row],[完了遅延対象]]=1,COUNTIFS(tblSteps[完了遅延対象],1,tblSteps[並びキー],"&lt;"&amp;tblSteps[[#This Row],[並びキー]])+1,"")</f>
        <v/>
      </c>
    </row>
  </sheetData>
  <mergeCells count="1">
    <mergeCell ref="K1:M1"/>
  </mergeCells>
  <conditionalFormatting sqref="M6:M2000">
    <cfRule type="expression" priority="1" dxfId="3" stopIfTrue="1">
      <formula>OR(ISNUMBER(SEARCH("期限超過",M6)),ISNUMBER(SEARCH("顧客納期より遅い",M6)))</formula>
    </cfRule>
    <cfRule type="expression" priority="2" dxfId="2" stopIfTrue="1">
      <formula>AND(M6&lt;&gt;"",M6&lt;&gt;"取消")</formula>
    </cfRule>
  </conditionalFormatting>
  <conditionalFormatting sqref="T6:T2000">
    <cfRule type="expression" priority="3" dxfId="2" stopIfTrue="1">
      <formula>T6&lt;&gt;""</formula>
    </cfRule>
  </conditionalFormatting>
  <conditionalFormatting sqref="A6:S2000">
    <cfRule type="expression" priority="4" dxfId="4" stopIfTrue="0">
      <formula>OR($F6="完了",$F6="取消")</formula>
    </cfRule>
  </conditionalFormatting>
  <conditionalFormatting sqref="G6:G2000">
    <cfRule type="dataBar" priority="5">
      <dataBar showValue="1">
        <cfvo type="num" val="0"/>
        <cfvo type="num" val="1"/>
        <color rgb="002F6BDB"/>
      </dataBar>
    </cfRule>
  </conditionalFormatting>
  <dataValidations count="13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=dv_ProjID</formula1>
    </dataValidation>
    <dataValidation sqref="E6:E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F6:F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=dv_StepStatus</formula1>
    </dataValidation>
    <dataValidation sqref="G6:G2000" showDropDown="0" showInputMessage="1" showErrorMessage="1" allowBlank="1" errorTitle="値を確認" error="進捗率は 0%〜100% で入力してください。" promptTitle="入力方法" prompt="0%〜100%。時間が過ぎても自動では増えません。" type="decimal" errorStyle="warning" operator="between">
      <formula1>0</formula1>
      <formula2>1</formula2>
    </dataValidation>
    <dataValidation sqref="H6:H2000" showDropDown="0" showInputMessage="1" showErrorMessage="1" allowBlank="1" errorTitle="日付を入力" error="日付（例 2026/10/05）を入力してください。" promptTitle="入力方法" prompt="当初計画の開始日。実績を入れても書き換えません。" type="date" errorStyle="stop" operator="between">
      <formula1>36526</formula1>
      <formula2>73051</formula2>
    </dataValidation>
    <dataValidation sqref="I6:I2000" showDropDown="0" showInputMessage="1" showErrorMessage="1" allowBlank="1" errorTitle="日付を入力" error="日付（例 2026/10/05）を入力してください。" promptTitle="入力方法" prompt="当初計画の終了日。" type="date" errorStyle="stop" operator="between">
      <formula1>36526</formula1>
      <formula2>73051</formula2>
    </dataValidation>
    <dataValidation sqref="J6:J2000" showDropDown="0" showInputMessage="1" showErrorMessage="1" allowBlank="1" errorTitle="日付を入力" error="日付（例 2026/10/05）を入力してください。" promptTitle="入力方法" prompt="計画より遅れそうな時に、現在の完了見込を入力。" type="date" errorStyle="stop" operator="between">
      <formula1>36526</formula1>
      <formula2>73051</formula2>
    </dataValidation>
    <dataValidation sqref="K6:K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L6:L2000" showDropDown="0" showInputMessage="1" showErrorMessage="1" allowBlank="1" errorTitle="日付を入力" error="日付（例 2026/10/05）を入力してください。" promptTitle="入力方法" prompt="完了した日。状態も「完了」にします。" type="date" errorStyle="stop" operator="between">
      <formula1>36526</formula1>
      <formula2>73051</formula2>
    </dataValidation>
    <dataValidation sqref="O6:O2000" showDropDown="0" showInputMessage="1" showErrorMessage="1" allowBlank="1" errorTitle="時刻を入力" error="時刻（例 9:00、13:30）を入力してください。" promptTitle="入力方法" prompt="空欄なら既定の開始時刻（07_設定）" type="time" errorStyle="stop" operator="between">
      <formula1>0</formula1>
      <formula2>0.999988426</formula2>
    </dataValidation>
    <dataValidation sqref="P6:P2000" showDropDown="0" showInputMessage="1" showErrorMessage="1" allowBlank="1" errorTitle="時刻を入力" error="時刻（例 9:00、13:30）を入力してください。" promptTitle="入力方法" prompt="空欄なら既定の終了時刻。日をまたぐ場合は計画終了日を翌日にします。" type="time" errorStyle="stop" operator="between">
      <formula1>0</formula1>
      <formula2>0.999988426</formula2>
    </dataValidation>
    <dataValidation sqref="Q6:Q2000" showDropDown="0" showInputMessage="0" showErrorMessage="1" allowBlank="1" errorTitle="値を確認" error="範囲外の値です。このまま登録すると入力チェック欄に警告が表示されます。" type="decimal" errorStyle="stop" operator="between">
      <formula1>0</formula1>
      <formula2>100000</formula2>
    </dataValidation>
  </dataValidations>
  <hyperlinks>
    <hyperlink ref="N1" location="'01_全体ホーム'!A1" display="← ホームへ"/>
  </hyperlinks>
  <printOptions horizontalCentered="1"/>
  <pageMargins left="0.4" right="0.4" top="0.5" bottom="0.5" header="0.2" footer="0.2"/>
  <pageSetup orientation="landscape" paperSize="8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7FA800"/>
    <outlinePr summaryBelow="1" summaryRight="1"/>
    <pageSetUpPr fitToPage="1"/>
  </sheetPr>
  <dimension ref="A1:BJ67"/>
  <sheetViews>
    <sheetView showGridLines="0" workbookViewId="0">
      <pane xSplit="10" ySplit="7" topLeftCell="K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9" customWidth="1" min="2" max="2"/>
    <col width="18" customWidth="1" min="3" max="3"/>
    <col width="9" customWidth="1" min="4" max="4"/>
    <col width="7" customWidth="1" min="5" max="5"/>
    <col width="6" customWidth="1" min="6" max="6"/>
    <col width="7" customWidth="1" min="7" max="7"/>
    <col width="7" customWidth="1" min="8" max="8"/>
    <col width="7" customWidth="1" min="9" max="9"/>
    <col width="13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2" customWidth="1" min="53" max="53"/>
    <col hidden="1" width="8" customWidth="1" min="54" max="54"/>
    <col hidden="1" width="8" customWidth="1" min="55" max="55"/>
    <col hidden="1" width="8" customWidth="1" min="56" max="56"/>
    <col hidden="1" width="8" customWidth="1" min="57" max="57"/>
    <col hidden="1" width="8" customWidth="1" min="58" max="58"/>
    <col hidden="1" width="8" customWidth="1" min="59" max="59"/>
    <col hidden="1" width="8" customWidth="1" min="60" max="60"/>
    <col hidden="1" width="8" customWidth="1" min="61" max="61"/>
    <col hidden="1" width="8" customWidth="1" min="62" max="62"/>
  </cols>
  <sheetData>
    <row r="1" ht="30" customHeight="1">
      <c r="A1" s="1" t="inlineStr">
        <is>
          <t>日別ガント（42日）</t>
        </is>
      </c>
      <c r="B1" s="2" t="n"/>
      <c r="C1" s="2" t="n"/>
      <c r="D1" s="2" t="n"/>
      <c r="E1" s="2" t="n"/>
      <c r="F1" s="2" t="n"/>
      <c r="G1" s="2" t="n"/>
      <c r="H1" s="3" t="inlineStr">
        <is>
          <t>サンプル（架空データ）</t>
        </is>
      </c>
      <c r="K1" s="35" t="inlineStr">
        <is>
          <t>← ホームへ</t>
        </is>
      </c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  <c r="AX1" s="2" t="n"/>
      <c r="AY1" s="2" t="n"/>
      <c r="AZ1" s="2" t="n"/>
    </row>
    <row r="2" ht="20" customHeight="1">
      <c r="A2" s="4" t="inlineStr">
        <is>
          <t>03_工程入力の日付から自動で横棒を表示します（手で塗る必要はありません）。表示開始日・基準日は 07_設定 で変更します。</t>
        </is>
      </c>
    </row>
    <row r="3" ht="24" customHeight="1">
      <c r="B3" s="6" t="inlineStr">
        <is>
          <t>担当</t>
        </is>
      </c>
      <c r="C3" s="64" t="inlineStr">
        <is>
          <t>全員</t>
        </is>
      </c>
      <c r="D3" s="6" t="inlineStr">
        <is>
          <t>案件</t>
        </is>
      </c>
      <c r="E3" s="64" t="inlineStr">
        <is>
          <t>全案件</t>
        </is>
      </c>
      <c r="F3" s="65" t="n"/>
      <c r="G3" s="6" t="inlineStr">
        <is>
          <t>表示開始日</t>
        </is>
      </c>
      <c r="I3" s="66">
        <f>GanttStart</f>
        <v>46293.0</v>
      </c>
      <c r="K3" s="67" t="inlineStr">
        <is>
          <t>▶ 表示開始日・基準日を変更（07_設定）</t>
        </is>
      </c>
    </row>
    <row r="4" ht="22" customHeight="1">
      <c r="A4" s="68" t="str">
        <f>"表示 "&amp;MIN(60,COUNTIF(tblSteps[日別対象],1))&amp;" 件／条件に合う工程 "&amp;COUNTIF(tblSteps[日別対象],1)&amp;" 件"&amp;IF(COUNTIF(tblSteps[日別対象],1)&gt;60,"　▲上限60行を超えた "&amp;(COUNTIF(tblSteps[日別対象],1)-60)&amp;" 件は未表示。担当・案件で絞り込んでください","")&amp;IF(COUNTIF(tblSteps[日別期間外],1)&gt;0,"　（表示期間の外の工程 "&amp;COUNTIF(tblSteps[日別期間外],1)&amp;" 件）","")&amp;"　基準日 "&amp;TEXT(RefDate,"m/d")</f>
        <v>表示 23 件／条件に合う工程 23 件　（表示期間の外の工程 6 件）　基準日 10/5</v>
      </c>
      <c r="K4" s="69" t="inlineStr">
        <is>
          <t>計画</t>
        </is>
      </c>
      <c r="L4" s="70" t="n"/>
      <c r="M4" s="70" t="n"/>
      <c r="N4" s="71" t="inlineStr">
        <is>
          <t>実績（計画内）</t>
        </is>
      </c>
      <c r="O4" s="72" t="n"/>
      <c r="P4" s="72" t="n"/>
      <c r="Q4" s="73" t="inlineStr">
        <is>
          <t>計画外の実績</t>
        </is>
      </c>
      <c r="R4" s="74" t="n"/>
      <c r="S4" s="74" t="n"/>
      <c r="T4" s="75" t="inlineStr">
        <is>
          <t>遅れ・見込延長</t>
        </is>
      </c>
      <c r="U4" s="76" t="n"/>
      <c r="V4" s="76" t="n"/>
      <c r="W4" s="77" t="inlineStr">
        <is>
          <t>◆ 顧客納期</t>
        </is>
      </c>
      <c r="X4" s="78" t="n"/>
      <c r="Y4" s="78" t="n"/>
      <c r="Z4" s="79" t="inlineStr">
        <is>
          <t>基準日</t>
        </is>
      </c>
      <c r="AA4" s="80" t="n"/>
      <c r="AB4" s="80" t="n"/>
      <c r="AC4" s="81" t="inlineStr">
        <is>
          <t>週末・休日</t>
        </is>
      </c>
      <c r="AD4" s="82" t="n"/>
      <c r="AE4" s="82" t="n"/>
    </row>
    <row r="5" ht="16" customHeight="1">
      <c r="A5" s="83" t="inlineStr">
        <is>
          <t>工程ID</t>
        </is>
      </c>
      <c r="B5" s="83" t="inlineStr">
        <is>
          <t>案件</t>
        </is>
      </c>
      <c r="C5" s="83" t="inlineStr">
        <is>
          <t>工程</t>
        </is>
      </c>
      <c r="D5" s="83" t="inlineStr">
        <is>
          <t>担当</t>
        </is>
      </c>
      <c r="E5" s="83" t="inlineStr">
        <is>
          <t>状態</t>
        </is>
      </c>
      <c r="F5" s="83" t="inlineStr">
        <is>
          <t>進捗</t>
        </is>
      </c>
      <c r="G5" s="83" t="inlineStr">
        <is>
          <t>計画開始</t>
        </is>
      </c>
      <c r="H5" s="83" t="inlineStr">
        <is>
          <t>計画終了</t>
        </is>
      </c>
      <c r="I5" s="83" t="inlineStr">
        <is>
          <t>完了見込</t>
        </is>
      </c>
      <c r="J5" s="83" t="inlineStr">
        <is>
          <t>注意</t>
        </is>
      </c>
      <c r="K5" s="84" t="str">
        <f>MONTH(K6)&amp;"月"</f>
        <v>9月</v>
      </c>
      <c r="L5" s="84" t="str">
        <f>IF(DAY(L6)=1,MONTH(L6)&amp;"月","")</f>
        <v/>
      </c>
      <c r="M5" s="84" t="str">
        <f>IF(DAY(M6)=1,MONTH(M6)&amp;"月","")</f>
        <v/>
      </c>
      <c r="N5" s="84" t="str">
        <f>IF(DAY(N6)=1,MONTH(N6)&amp;"月","")</f>
        <v>10月</v>
      </c>
      <c r="O5" s="84" t="str">
        <f>IF(DAY(O6)=1,MONTH(O6)&amp;"月","")</f>
        <v/>
      </c>
      <c r="P5" s="84" t="str">
        <f>IF(DAY(P6)=1,MONTH(P6)&amp;"月","")</f>
        <v/>
      </c>
      <c r="Q5" s="84" t="str">
        <f>IF(DAY(Q6)=1,MONTH(Q6)&amp;"月","")</f>
        <v/>
      </c>
      <c r="R5" s="84" t="str">
        <f>IF(DAY(R6)=1,MONTH(R6)&amp;"月","")</f>
        <v/>
      </c>
      <c r="S5" s="84" t="str">
        <f>IF(DAY(S6)=1,MONTH(S6)&amp;"月","")</f>
        <v/>
      </c>
      <c r="T5" s="84" t="str">
        <f>IF(DAY(T6)=1,MONTH(T6)&amp;"月","")</f>
        <v/>
      </c>
      <c r="U5" s="84" t="str">
        <f>IF(DAY(U6)=1,MONTH(U6)&amp;"月","")</f>
        <v/>
      </c>
      <c r="V5" s="84" t="str">
        <f>IF(DAY(V6)=1,MONTH(V6)&amp;"月","")</f>
        <v/>
      </c>
      <c r="W5" s="84" t="str">
        <f>IF(DAY(W6)=1,MONTH(W6)&amp;"月","")</f>
        <v/>
      </c>
      <c r="X5" s="84" t="str">
        <f>IF(DAY(X6)=1,MONTH(X6)&amp;"月","")</f>
        <v/>
      </c>
      <c r="Y5" s="84" t="str">
        <f>IF(DAY(Y6)=1,MONTH(Y6)&amp;"月","")</f>
        <v/>
      </c>
      <c r="Z5" s="84" t="str">
        <f>IF(DAY(Z6)=1,MONTH(Z6)&amp;"月","")</f>
        <v/>
      </c>
      <c r="AA5" s="84" t="str">
        <f>IF(DAY(AA6)=1,MONTH(AA6)&amp;"月","")</f>
        <v/>
      </c>
      <c r="AB5" s="84" t="str">
        <f>IF(DAY(AB6)=1,MONTH(AB6)&amp;"月","")</f>
        <v/>
      </c>
      <c r="AC5" s="84" t="str">
        <f>IF(DAY(AC6)=1,MONTH(AC6)&amp;"月","")</f>
        <v/>
      </c>
      <c r="AD5" s="84" t="str">
        <f>IF(DAY(AD6)=1,MONTH(AD6)&amp;"月","")</f>
        <v/>
      </c>
      <c r="AE5" s="84" t="str">
        <f>IF(DAY(AE6)=1,MONTH(AE6)&amp;"月","")</f>
        <v/>
      </c>
      <c r="AF5" s="84" t="str">
        <f>IF(DAY(AF6)=1,MONTH(AF6)&amp;"月","")</f>
        <v/>
      </c>
      <c r="AG5" s="84" t="str">
        <f>IF(DAY(AG6)=1,MONTH(AG6)&amp;"月","")</f>
        <v/>
      </c>
      <c r="AH5" s="84" t="str">
        <f>IF(DAY(AH6)=1,MONTH(AH6)&amp;"月","")</f>
        <v/>
      </c>
      <c r="AI5" s="84" t="str">
        <f>IF(DAY(AI6)=1,MONTH(AI6)&amp;"月","")</f>
        <v/>
      </c>
      <c r="AJ5" s="84" t="str">
        <f>IF(DAY(AJ6)=1,MONTH(AJ6)&amp;"月","")</f>
        <v/>
      </c>
      <c r="AK5" s="84" t="str">
        <f>IF(DAY(AK6)=1,MONTH(AK6)&amp;"月","")</f>
        <v/>
      </c>
      <c r="AL5" s="84" t="str">
        <f>IF(DAY(AL6)=1,MONTH(AL6)&amp;"月","")</f>
        <v/>
      </c>
      <c r="AM5" s="84" t="str">
        <f>IF(DAY(AM6)=1,MONTH(AM6)&amp;"月","")</f>
        <v/>
      </c>
      <c r="AN5" s="84" t="str">
        <f>IF(DAY(AN6)=1,MONTH(AN6)&amp;"月","")</f>
        <v/>
      </c>
      <c r="AO5" s="84" t="str">
        <f>IF(DAY(AO6)=1,MONTH(AO6)&amp;"月","")</f>
        <v/>
      </c>
      <c r="AP5" s="84" t="str">
        <f>IF(DAY(AP6)=1,MONTH(AP6)&amp;"月","")</f>
        <v/>
      </c>
      <c r="AQ5" s="84" t="str">
        <f>IF(DAY(AQ6)=1,MONTH(AQ6)&amp;"月","")</f>
        <v/>
      </c>
      <c r="AR5" s="84" t="str">
        <f>IF(DAY(AR6)=1,MONTH(AR6)&amp;"月","")</f>
        <v/>
      </c>
      <c r="AS5" s="84" t="str">
        <f>IF(DAY(AS6)=1,MONTH(AS6)&amp;"月","")</f>
        <v>11月</v>
      </c>
      <c r="AT5" s="84" t="str">
        <f>IF(DAY(AT6)=1,MONTH(AT6)&amp;"月","")</f>
        <v/>
      </c>
      <c r="AU5" s="84" t="str">
        <f>IF(DAY(AU6)=1,MONTH(AU6)&amp;"月","")</f>
        <v/>
      </c>
      <c r="AV5" s="84" t="str">
        <f>IF(DAY(AV6)=1,MONTH(AV6)&amp;"月","")</f>
        <v/>
      </c>
      <c r="AW5" s="84" t="str">
        <f>IF(DAY(AW6)=1,MONTH(AW6)&amp;"月","")</f>
        <v/>
      </c>
      <c r="AX5" s="84" t="str">
        <f>IF(DAY(AX6)=1,MONTH(AX6)&amp;"月","")</f>
        <v/>
      </c>
      <c r="AY5" s="84" t="str">
        <f>IF(DAY(AY6)=1,MONTH(AY6)&amp;"月","")</f>
        <v/>
      </c>
      <c r="AZ5" s="84" t="str">
        <f>IF(DAY(AZ6)=1,MONTH(AZ6)&amp;"月","")</f>
        <v/>
      </c>
    </row>
    <row r="6" ht="16" customHeight="1">
      <c r="K6" s="85">
        <f>GanttStart</f>
        <v>46293.0</v>
      </c>
      <c r="L6" s="85">
        <f>K6+1</f>
        <v>46294.0</v>
      </c>
      <c r="M6" s="85">
        <f>L6+1</f>
        <v>46295.0</v>
      </c>
      <c r="N6" s="85">
        <f>M6+1</f>
        <v>46296.0</v>
      </c>
      <c r="O6" s="85">
        <f>N6+1</f>
        <v>46297.0</v>
      </c>
      <c r="P6" s="85">
        <f>O6+1</f>
        <v>46298.0</v>
      </c>
      <c r="Q6" s="85">
        <f>P6+1</f>
        <v>46299.0</v>
      </c>
      <c r="R6" s="85">
        <f>Q6+1</f>
        <v>46300.0</v>
      </c>
      <c r="S6" s="85">
        <f>R6+1</f>
        <v>46301.0</v>
      </c>
      <c r="T6" s="85">
        <f>S6+1</f>
        <v>46302.0</v>
      </c>
      <c r="U6" s="85">
        <f>T6+1</f>
        <v>46303.0</v>
      </c>
      <c r="V6" s="85">
        <f>U6+1</f>
        <v>46304.0</v>
      </c>
      <c r="W6" s="85">
        <f>V6+1</f>
        <v>46305.0</v>
      </c>
      <c r="X6" s="85">
        <f>W6+1</f>
        <v>46306.0</v>
      </c>
      <c r="Y6" s="85">
        <f>X6+1</f>
        <v>46307.0</v>
      </c>
      <c r="Z6" s="85">
        <f>Y6+1</f>
        <v>46308.0</v>
      </c>
      <c r="AA6" s="85">
        <f>Z6+1</f>
        <v>46309.0</v>
      </c>
      <c r="AB6" s="85">
        <f>AA6+1</f>
        <v>46310.0</v>
      </c>
      <c r="AC6" s="85">
        <f>AB6+1</f>
        <v>46311.0</v>
      </c>
      <c r="AD6" s="85">
        <f>AC6+1</f>
        <v>46312.0</v>
      </c>
      <c r="AE6" s="85">
        <f>AD6+1</f>
        <v>46313.0</v>
      </c>
      <c r="AF6" s="85">
        <f>AE6+1</f>
        <v>46314.0</v>
      </c>
      <c r="AG6" s="85">
        <f>AF6+1</f>
        <v>46315.0</v>
      </c>
      <c r="AH6" s="85">
        <f>AG6+1</f>
        <v>46316.0</v>
      </c>
      <c r="AI6" s="85">
        <f>AH6+1</f>
        <v>46317.0</v>
      </c>
      <c r="AJ6" s="85">
        <f>AI6+1</f>
        <v>46318.0</v>
      </c>
      <c r="AK6" s="85">
        <f>AJ6+1</f>
        <v>46319.0</v>
      </c>
      <c r="AL6" s="85">
        <f>AK6+1</f>
        <v>46320.0</v>
      </c>
      <c r="AM6" s="85">
        <f>AL6+1</f>
        <v>46321.0</v>
      </c>
      <c r="AN6" s="85">
        <f>AM6+1</f>
        <v>46322.0</v>
      </c>
      <c r="AO6" s="85">
        <f>AN6+1</f>
        <v>46323.0</v>
      </c>
      <c r="AP6" s="85">
        <f>AO6+1</f>
        <v>46324.0</v>
      </c>
      <c r="AQ6" s="85">
        <f>AP6+1</f>
        <v>46325.0</v>
      </c>
      <c r="AR6" s="85">
        <f>AQ6+1</f>
        <v>46326.0</v>
      </c>
      <c r="AS6" s="85">
        <f>AR6+1</f>
        <v>46327.0</v>
      </c>
      <c r="AT6" s="85">
        <f>AS6+1</f>
        <v>46328.0</v>
      </c>
      <c r="AU6" s="85">
        <f>AT6+1</f>
        <v>46329.0</v>
      </c>
      <c r="AV6" s="85">
        <f>AU6+1</f>
        <v>46330.0</v>
      </c>
      <c r="AW6" s="85">
        <f>AV6+1</f>
        <v>46331.0</v>
      </c>
      <c r="AX6" s="85">
        <f>AW6+1</f>
        <v>46332.0</v>
      </c>
      <c r="AY6" s="85">
        <f>AX6+1</f>
        <v>46333.0</v>
      </c>
      <c r="AZ6" s="85">
        <f>AY6+1</f>
        <v>46334.0</v>
      </c>
    </row>
    <row r="7" ht="16" customHeight="1">
      <c r="K7" s="86" t="str">
        <f>IF(COUNTIF(lst_Holidays,K6)&gt;0,"休",CHOOSE(WEEKDAY(K6),"日","月","火","水","木","金","土"))</f>
        <v>月</v>
      </c>
      <c r="L7" s="86" t="str">
        <f>IF(COUNTIF(lst_Holidays,L6)&gt;0,"休",CHOOSE(WEEKDAY(L6),"日","月","火","水","木","金","土"))</f>
        <v>火</v>
      </c>
      <c r="M7" s="86" t="str">
        <f>IF(COUNTIF(lst_Holidays,M6)&gt;0,"休",CHOOSE(WEEKDAY(M6),"日","月","火","水","木","金","土"))</f>
        <v>水</v>
      </c>
      <c r="N7" s="86" t="str">
        <f>IF(COUNTIF(lst_Holidays,N6)&gt;0,"休",CHOOSE(WEEKDAY(N6),"日","月","火","水","木","金","土"))</f>
        <v>木</v>
      </c>
      <c r="O7" s="86" t="str">
        <f>IF(COUNTIF(lst_Holidays,O6)&gt;0,"休",CHOOSE(WEEKDAY(O6),"日","月","火","水","木","金","土"))</f>
        <v>金</v>
      </c>
      <c r="P7" s="86" t="str">
        <f>IF(COUNTIF(lst_Holidays,P6)&gt;0,"休",CHOOSE(WEEKDAY(P6),"日","月","火","水","木","金","土"))</f>
        <v>土</v>
      </c>
      <c r="Q7" s="86" t="str">
        <f>IF(COUNTIF(lst_Holidays,Q6)&gt;0,"休",CHOOSE(WEEKDAY(Q6),"日","月","火","水","木","金","土"))</f>
        <v>日</v>
      </c>
      <c r="R7" s="86" t="str">
        <f>IF(COUNTIF(lst_Holidays,R6)&gt;0,"休",CHOOSE(WEEKDAY(R6),"日","月","火","水","木","金","土"))</f>
        <v>月</v>
      </c>
      <c r="S7" s="86" t="str">
        <f>IF(COUNTIF(lst_Holidays,S6)&gt;0,"休",CHOOSE(WEEKDAY(S6),"日","月","火","水","木","金","土"))</f>
        <v>火</v>
      </c>
      <c r="T7" s="86" t="str">
        <f>IF(COUNTIF(lst_Holidays,T6)&gt;0,"休",CHOOSE(WEEKDAY(T6),"日","月","火","水","木","金","土"))</f>
        <v>水</v>
      </c>
      <c r="U7" s="86" t="str">
        <f>IF(COUNTIF(lst_Holidays,U6)&gt;0,"休",CHOOSE(WEEKDAY(U6),"日","月","火","水","木","金","土"))</f>
        <v>木</v>
      </c>
      <c r="V7" s="86" t="str">
        <f>IF(COUNTIF(lst_Holidays,V6)&gt;0,"休",CHOOSE(WEEKDAY(V6),"日","月","火","水","木","金","土"))</f>
        <v>金</v>
      </c>
      <c r="W7" s="86" t="str">
        <f>IF(COUNTIF(lst_Holidays,W6)&gt;0,"休",CHOOSE(WEEKDAY(W6),"日","月","火","水","木","金","土"))</f>
        <v>土</v>
      </c>
      <c r="X7" s="86" t="str">
        <f>IF(COUNTIF(lst_Holidays,X6)&gt;0,"休",CHOOSE(WEEKDAY(X6),"日","月","火","水","木","金","土"))</f>
        <v>日</v>
      </c>
      <c r="Y7" s="86" t="str">
        <f>IF(COUNTIF(lst_Holidays,Y6)&gt;0,"休",CHOOSE(WEEKDAY(Y6),"日","月","火","水","木","金","土"))</f>
        <v>月</v>
      </c>
      <c r="Z7" s="86" t="str">
        <f>IF(COUNTIF(lst_Holidays,Z6)&gt;0,"休",CHOOSE(WEEKDAY(Z6),"日","月","火","水","木","金","土"))</f>
        <v>火</v>
      </c>
      <c r="AA7" s="86" t="str">
        <f>IF(COUNTIF(lst_Holidays,AA6)&gt;0,"休",CHOOSE(WEEKDAY(AA6),"日","月","火","水","木","金","土"))</f>
        <v>水</v>
      </c>
      <c r="AB7" s="86" t="str">
        <f>IF(COUNTIF(lst_Holidays,AB6)&gt;0,"休",CHOOSE(WEEKDAY(AB6),"日","月","火","水","木","金","土"))</f>
        <v>木</v>
      </c>
      <c r="AC7" s="86" t="str">
        <f>IF(COUNTIF(lst_Holidays,AC6)&gt;0,"休",CHOOSE(WEEKDAY(AC6),"日","月","火","水","木","金","土"))</f>
        <v>休</v>
      </c>
      <c r="AD7" s="86" t="str">
        <f>IF(COUNTIF(lst_Holidays,AD6)&gt;0,"休",CHOOSE(WEEKDAY(AD6),"日","月","火","水","木","金","土"))</f>
        <v>土</v>
      </c>
      <c r="AE7" s="86" t="str">
        <f>IF(COUNTIF(lst_Holidays,AE6)&gt;0,"休",CHOOSE(WEEKDAY(AE6),"日","月","火","水","木","金","土"))</f>
        <v>日</v>
      </c>
      <c r="AF7" s="86" t="str">
        <f>IF(COUNTIF(lst_Holidays,AF6)&gt;0,"休",CHOOSE(WEEKDAY(AF6),"日","月","火","水","木","金","土"))</f>
        <v>月</v>
      </c>
      <c r="AG7" s="86" t="str">
        <f>IF(COUNTIF(lst_Holidays,AG6)&gt;0,"休",CHOOSE(WEEKDAY(AG6),"日","月","火","水","木","金","土"))</f>
        <v>火</v>
      </c>
      <c r="AH7" s="86" t="str">
        <f>IF(COUNTIF(lst_Holidays,AH6)&gt;0,"休",CHOOSE(WEEKDAY(AH6),"日","月","火","水","木","金","土"))</f>
        <v>水</v>
      </c>
      <c r="AI7" s="86" t="str">
        <f>IF(COUNTIF(lst_Holidays,AI6)&gt;0,"休",CHOOSE(WEEKDAY(AI6),"日","月","火","水","木","金","土"))</f>
        <v>木</v>
      </c>
      <c r="AJ7" s="86" t="str">
        <f>IF(COUNTIF(lst_Holidays,AJ6)&gt;0,"休",CHOOSE(WEEKDAY(AJ6),"日","月","火","水","木","金","土"))</f>
        <v>金</v>
      </c>
      <c r="AK7" s="86" t="str">
        <f>IF(COUNTIF(lst_Holidays,AK6)&gt;0,"休",CHOOSE(WEEKDAY(AK6),"日","月","火","水","木","金","土"))</f>
        <v>土</v>
      </c>
      <c r="AL7" s="86" t="str">
        <f>IF(COUNTIF(lst_Holidays,AL6)&gt;0,"休",CHOOSE(WEEKDAY(AL6),"日","月","火","水","木","金","土"))</f>
        <v>日</v>
      </c>
      <c r="AM7" s="86" t="str">
        <f>IF(COUNTIF(lst_Holidays,AM6)&gt;0,"休",CHOOSE(WEEKDAY(AM6),"日","月","火","水","木","金","土"))</f>
        <v>月</v>
      </c>
      <c r="AN7" s="86" t="str">
        <f>IF(COUNTIF(lst_Holidays,AN6)&gt;0,"休",CHOOSE(WEEKDAY(AN6),"日","月","火","水","木","金","土"))</f>
        <v>火</v>
      </c>
      <c r="AO7" s="86" t="str">
        <f>IF(COUNTIF(lst_Holidays,AO6)&gt;0,"休",CHOOSE(WEEKDAY(AO6),"日","月","火","水","木","金","土"))</f>
        <v>水</v>
      </c>
      <c r="AP7" s="86" t="str">
        <f>IF(COUNTIF(lst_Holidays,AP6)&gt;0,"休",CHOOSE(WEEKDAY(AP6),"日","月","火","水","木","金","土"))</f>
        <v>木</v>
      </c>
      <c r="AQ7" s="86" t="str">
        <f>IF(COUNTIF(lst_Holidays,AQ6)&gt;0,"休",CHOOSE(WEEKDAY(AQ6),"日","月","火","水","木","金","土"))</f>
        <v>金</v>
      </c>
      <c r="AR7" s="86" t="str">
        <f>IF(COUNTIF(lst_Holidays,AR6)&gt;0,"休",CHOOSE(WEEKDAY(AR6),"日","月","火","水","木","金","土"))</f>
        <v>土</v>
      </c>
      <c r="AS7" s="86" t="str">
        <f>IF(COUNTIF(lst_Holidays,AS6)&gt;0,"休",CHOOSE(WEEKDAY(AS6),"日","月","火","水","木","金","土"))</f>
        <v>日</v>
      </c>
      <c r="AT7" s="86" t="str">
        <f>IF(COUNTIF(lst_Holidays,AT6)&gt;0,"休",CHOOSE(WEEKDAY(AT6),"日","月","火","水","木","金","土"))</f>
        <v>月</v>
      </c>
      <c r="AU7" s="86" t="str">
        <f>IF(COUNTIF(lst_Holidays,AU6)&gt;0,"休",CHOOSE(WEEKDAY(AU6),"日","月","火","水","木","金","土"))</f>
        <v>火</v>
      </c>
      <c r="AV7" s="86" t="str">
        <f>IF(COUNTIF(lst_Holidays,AV6)&gt;0,"休",CHOOSE(WEEKDAY(AV6),"日","月","火","水","木","金","土"))</f>
        <v>水</v>
      </c>
      <c r="AW7" s="86" t="str">
        <f>IF(COUNTIF(lst_Holidays,AW6)&gt;0,"休",CHOOSE(WEEKDAY(AW6),"日","月","火","水","木","金","土"))</f>
        <v>木</v>
      </c>
      <c r="AX7" s="86" t="str">
        <f>IF(COUNTIF(lst_Holidays,AX6)&gt;0,"休",CHOOSE(WEEKDAY(AX6),"日","月","火","水","木","金","土"))</f>
        <v>金</v>
      </c>
      <c r="AY7" s="86" t="str">
        <f>IF(COUNTIF(lst_Holidays,AY6)&gt;0,"休",CHOOSE(WEEKDAY(AY6),"日","月","火","水","木","金","土"))</f>
        <v>土</v>
      </c>
      <c r="AZ7" s="86" t="str">
        <f>IF(COUNTIF(lst_Holidays,AZ6)&gt;0,"休",CHOOSE(WEEKDAY(AZ6),"日","月","火","水","木","金","土"))</f>
        <v>日</v>
      </c>
    </row>
    <row r="8" ht="18" customHeight="1">
      <c r="A8" s="87" t="str">
        <f>IF($BB8="",IF(COUNTIF(tblSteps[日別対象],1)=0,IF(COUNTIF(tblSteps[工程ID],"?*")=0,"工程未登録：03_工程入力に登録すると表示されます","条件に合う工程はありません（担当・案件・表示期間を確認）"),""),INDEX(tblSteps[工程ID],$BB8)&amp;"")</f>
        <v>S0022</v>
      </c>
      <c r="B8" s="88" t="str">
        <f>IF($BB8="","",IF($BC8=$BC7,"",$BC8&amp;" "&amp;INDEX(tblSteps[案件名],$BB8)))</f>
        <v>A0023 定期保守点検（年2回）</v>
      </c>
      <c r="C8" s="88" t="str">
        <f>IF($BB8="","",INDEX(tblSteps[工程名],$BB8)&amp;"")</f>
        <v>点検作業</v>
      </c>
      <c r="D8" s="89" t="str">
        <f>IF($BB8="","",INDEX(tblSteps[担当],$BB8)&amp;"")</f>
        <v>渡辺</v>
      </c>
      <c r="E8" s="89" t="str">
        <f>IF($BB8="","",INDEX(tblSteps[状態],$BB8)&amp;"")</f>
        <v>進行中</v>
      </c>
      <c r="F8" s="90">
        <f>IF($BB8="","",IF(ISNUMBER(INDEX(tblSteps[進捗率],$BB8)),INDEX(tblSteps[進捗率],$BB8),""))</f>
        <v>0.8</v>
      </c>
      <c r="G8" s="91">
        <f>IF($BB8="","",IF(ISNUMBER(INDEX(tblSteps[計画開始日],$BB8)),INDEX(tblSteps[計画開始日],$BB8),"未入力"))</f>
        <v>46294.0</v>
      </c>
      <c r="H8" s="91">
        <f>IF($BB8="","",IF(ISNUMBER(INDEX(tblSteps[計画終了日],$BB8)),INDEX(tblSteps[計画終了日],$BB8),"未入力"))</f>
        <v>46296.0</v>
      </c>
      <c r="I8" s="91" t="str">
        <f>IF($BB8="","",IF(ISNUMBER(INDEX(tblSteps[完了見込日],$BB8)),INDEX(tblSteps[完了見込日],$BB8),""))</f>
        <v/>
      </c>
      <c r="J8" s="92" t="str">
        <f>IF($BB8="","",INDEX(tblSteps[注意短],$BB8)&amp;"")</f>
        <v>期限超過4日</v>
      </c>
      <c r="K8" s="93" t="str">
        <f>IF($BB8="","",IF(K$6=$BJ8,"◆",IF(AND(K$6&gt;=$BF8,K$6&lt;=$BG8),IF(AND(K$6&gt;=$BD8,K$6&lt;=$BE8),"実","外"),IF(AND(K$6&gt;=$BD8,K$6&lt;=$BE8),"計",IF(AND(K$6&gt;=$BH8,K$6&lt;=$BI8),"遅","")))))</f>
        <v/>
      </c>
      <c r="L8" s="93" t="str">
        <f>IF($BB8="","",IF(L$6=$BJ8,"◆",IF(AND(L$6&gt;=$BF8,L$6&lt;=$BG8),IF(AND(L$6&gt;=$BD8,L$6&lt;=$BE8),"実","外"),IF(AND(L$6&gt;=$BD8,L$6&lt;=$BE8),"計",IF(AND(L$6&gt;=$BH8,L$6&lt;=$BI8),"遅","")))))</f>
        <v>実</v>
      </c>
      <c r="M8" s="93" t="str">
        <f>IF($BB8="","",IF(M$6=$BJ8,"◆",IF(AND(M$6&gt;=$BF8,M$6&lt;=$BG8),IF(AND(M$6&gt;=$BD8,M$6&lt;=$BE8),"実","外"),IF(AND(M$6&gt;=$BD8,M$6&lt;=$BE8),"計",IF(AND(M$6&gt;=$BH8,M$6&lt;=$BI8),"遅","")))))</f>
        <v>実</v>
      </c>
      <c r="N8" s="93" t="str">
        <f>IF($BB8="","",IF(N$6=$BJ8,"◆",IF(AND(N$6&gt;=$BF8,N$6&lt;=$BG8),IF(AND(N$6&gt;=$BD8,N$6&lt;=$BE8),"実","外"),IF(AND(N$6&gt;=$BD8,N$6&lt;=$BE8),"計",IF(AND(N$6&gt;=$BH8,N$6&lt;=$BI8),"遅","")))))</f>
        <v>実</v>
      </c>
      <c r="O8" s="93" t="str">
        <f>IF($BB8="","",IF(O$6=$BJ8,"◆",IF(AND(O$6&gt;=$BF8,O$6&lt;=$BG8),IF(AND(O$6&gt;=$BD8,O$6&lt;=$BE8),"実","外"),IF(AND(O$6&gt;=$BD8,O$6&lt;=$BE8),"計",IF(AND(O$6&gt;=$BH8,O$6&lt;=$BI8),"遅","")))))</f>
        <v>◆</v>
      </c>
      <c r="P8" s="93" t="str">
        <f>IF($BB8="","",IF(P$6=$BJ8,"◆",IF(AND(P$6&gt;=$BF8,P$6&lt;=$BG8),IF(AND(P$6&gt;=$BD8,P$6&lt;=$BE8),"実","外"),IF(AND(P$6&gt;=$BD8,P$6&lt;=$BE8),"計",IF(AND(P$6&gt;=$BH8,P$6&lt;=$BI8),"遅","")))))</f>
        <v>外</v>
      </c>
      <c r="Q8" s="93" t="str">
        <f>IF($BB8="","",IF(Q$6=$BJ8,"◆",IF(AND(Q$6&gt;=$BF8,Q$6&lt;=$BG8),IF(AND(Q$6&gt;=$BD8,Q$6&lt;=$BE8),"実","外"),IF(AND(Q$6&gt;=$BD8,Q$6&lt;=$BE8),"計",IF(AND(Q$6&gt;=$BH8,Q$6&lt;=$BI8),"遅","")))))</f>
        <v>外</v>
      </c>
      <c r="R8" s="93" t="str">
        <f>IF($BB8="","",IF(R$6=$BJ8,"◆",IF(AND(R$6&gt;=$BF8,R$6&lt;=$BG8),IF(AND(R$6&gt;=$BD8,R$6&lt;=$BE8),"実","外"),IF(AND(R$6&gt;=$BD8,R$6&lt;=$BE8),"計",IF(AND(R$6&gt;=$BH8,R$6&lt;=$BI8),"遅","")))))</f>
        <v>外</v>
      </c>
      <c r="S8" s="93" t="str">
        <f>IF($BB8="","",IF(S$6=$BJ8,"◆",IF(AND(S$6&gt;=$BF8,S$6&lt;=$BG8),IF(AND(S$6&gt;=$BD8,S$6&lt;=$BE8),"実","外"),IF(AND(S$6&gt;=$BD8,S$6&lt;=$BE8),"計",IF(AND(S$6&gt;=$BH8,S$6&lt;=$BI8),"遅","")))))</f>
        <v/>
      </c>
      <c r="T8" s="93" t="str">
        <f>IF($BB8="","",IF(T$6=$BJ8,"◆",IF(AND(T$6&gt;=$BF8,T$6&lt;=$BG8),IF(AND(T$6&gt;=$BD8,T$6&lt;=$BE8),"実","外"),IF(AND(T$6&gt;=$BD8,T$6&lt;=$BE8),"計",IF(AND(T$6&gt;=$BH8,T$6&lt;=$BI8),"遅","")))))</f>
        <v/>
      </c>
      <c r="U8" s="93" t="str">
        <f>IF($BB8="","",IF(U$6=$BJ8,"◆",IF(AND(U$6&gt;=$BF8,U$6&lt;=$BG8),IF(AND(U$6&gt;=$BD8,U$6&lt;=$BE8),"実","外"),IF(AND(U$6&gt;=$BD8,U$6&lt;=$BE8),"計",IF(AND(U$6&gt;=$BH8,U$6&lt;=$BI8),"遅","")))))</f>
        <v/>
      </c>
      <c r="V8" s="93" t="str">
        <f>IF($BB8="","",IF(V$6=$BJ8,"◆",IF(AND(V$6&gt;=$BF8,V$6&lt;=$BG8),IF(AND(V$6&gt;=$BD8,V$6&lt;=$BE8),"実","外"),IF(AND(V$6&gt;=$BD8,V$6&lt;=$BE8),"計",IF(AND(V$6&gt;=$BH8,V$6&lt;=$BI8),"遅","")))))</f>
        <v/>
      </c>
      <c r="W8" s="93" t="str">
        <f>IF($BB8="","",IF(W$6=$BJ8,"◆",IF(AND(W$6&gt;=$BF8,W$6&lt;=$BG8),IF(AND(W$6&gt;=$BD8,W$6&lt;=$BE8),"実","外"),IF(AND(W$6&gt;=$BD8,W$6&lt;=$BE8),"計",IF(AND(W$6&gt;=$BH8,W$6&lt;=$BI8),"遅","")))))</f>
        <v/>
      </c>
      <c r="X8" s="93" t="str">
        <f>IF($BB8="","",IF(X$6=$BJ8,"◆",IF(AND(X$6&gt;=$BF8,X$6&lt;=$BG8),IF(AND(X$6&gt;=$BD8,X$6&lt;=$BE8),"実","外"),IF(AND(X$6&gt;=$BD8,X$6&lt;=$BE8),"計",IF(AND(X$6&gt;=$BH8,X$6&lt;=$BI8),"遅","")))))</f>
        <v/>
      </c>
      <c r="Y8" s="93" t="str">
        <f>IF($BB8="","",IF(Y$6=$BJ8,"◆",IF(AND(Y$6&gt;=$BF8,Y$6&lt;=$BG8),IF(AND(Y$6&gt;=$BD8,Y$6&lt;=$BE8),"実","外"),IF(AND(Y$6&gt;=$BD8,Y$6&lt;=$BE8),"計",IF(AND(Y$6&gt;=$BH8,Y$6&lt;=$BI8),"遅","")))))</f>
        <v/>
      </c>
      <c r="Z8" s="93" t="str">
        <f>IF($BB8="","",IF(Z$6=$BJ8,"◆",IF(AND(Z$6&gt;=$BF8,Z$6&lt;=$BG8),IF(AND(Z$6&gt;=$BD8,Z$6&lt;=$BE8),"実","外"),IF(AND(Z$6&gt;=$BD8,Z$6&lt;=$BE8),"計",IF(AND(Z$6&gt;=$BH8,Z$6&lt;=$BI8),"遅","")))))</f>
        <v/>
      </c>
      <c r="AA8" s="93" t="str">
        <f>IF($BB8="","",IF(AA$6=$BJ8,"◆",IF(AND(AA$6&gt;=$BF8,AA$6&lt;=$BG8),IF(AND(AA$6&gt;=$BD8,AA$6&lt;=$BE8),"実","外"),IF(AND(AA$6&gt;=$BD8,AA$6&lt;=$BE8),"計",IF(AND(AA$6&gt;=$BH8,AA$6&lt;=$BI8),"遅","")))))</f>
        <v/>
      </c>
      <c r="AB8" s="93" t="str">
        <f>IF($BB8="","",IF(AB$6=$BJ8,"◆",IF(AND(AB$6&gt;=$BF8,AB$6&lt;=$BG8),IF(AND(AB$6&gt;=$BD8,AB$6&lt;=$BE8),"実","外"),IF(AND(AB$6&gt;=$BD8,AB$6&lt;=$BE8),"計",IF(AND(AB$6&gt;=$BH8,AB$6&lt;=$BI8),"遅","")))))</f>
        <v/>
      </c>
      <c r="AC8" s="93" t="str">
        <f>IF($BB8="","",IF(AC$6=$BJ8,"◆",IF(AND(AC$6&gt;=$BF8,AC$6&lt;=$BG8),IF(AND(AC$6&gt;=$BD8,AC$6&lt;=$BE8),"実","外"),IF(AND(AC$6&gt;=$BD8,AC$6&lt;=$BE8),"計",IF(AND(AC$6&gt;=$BH8,AC$6&lt;=$BI8),"遅","")))))</f>
        <v/>
      </c>
      <c r="AD8" s="93" t="str">
        <f>IF($BB8="","",IF(AD$6=$BJ8,"◆",IF(AND(AD$6&gt;=$BF8,AD$6&lt;=$BG8),IF(AND(AD$6&gt;=$BD8,AD$6&lt;=$BE8),"実","外"),IF(AND(AD$6&gt;=$BD8,AD$6&lt;=$BE8),"計",IF(AND(AD$6&gt;=$BH8,AD$6&lt;=$BI8),"遅","")))))</f>
        <v/>
      </c>
      <c r="AE8" s="93" t="str">
        <f>IF($BB8="","",IF(AE$6=$BJ8,"◆",IF(AND(AE$6&gt;=$BF8,AE$6&lt;=$BG8),IF(AND(AE$6&gt;=$BD8,AE$6&lt;=$BE8),"実","外"),IF(AND(AE$6&gt;=$BD8,AE$6&lt;=$BE8),"計",IF(AND(AE$6&gt;=$BH8,AE$6&lt;=$BI8),"遅","")))))</f>
        <v/>
      </c>
      <c r="AF8" s="93" t="str">
        <f>IF($BB8="","",IF(AF$6=$BJ8,"◆",IF(AND(AF$6&gt;=$BF8,AF$6&lt;=$BG8),IF(AND(AF$6&gt;=$BD8,AF$6&lt;=$BE8),"実","外"),IF(AND(AF$6&gt;=$BD8,AF$6&lt;=$BE8),"計",IF(AND(AF$6&gt;=$BH8,AF$6&lt;=$BI8),"遅","")))))</f>
        <v/>
      </c>
      <c r="AG8" s="93" t="str">
        <f>IF($BB8="","",IF(AG$6=$BJ8,"◆",IF(AND(AG$6&gt;=$BF8,AG$6&lt;=$BG8),IF(AND(AG$6&gt;=$BD8,AG$6&lt;=$BE8),"実","外"),IF(AND(AG$6&gt;=$BD8,AG$6&lt;=$BE8),"計",IF(AND(AG$6&gt;=$BH8,AG$6&lt;=$BI8),"遅","")))))</f>
        <v/>
      </c>
      <c r="AH8" s="93" t="str">
        <f>IF($BB8="","",IF(AH$6=$BJ8,"◆",IF(AND(AH$6&gt;=$BF8,AH$6&lt;=$BG8),IF(AND(AH$6&gt;=$BD8,AH$6&lt;=$BE8),"実","外"),IF(AND(AH$6&gt;=$BD8,AH$6&lt;=$BE8),"計",IF(AND(AH$6&gt;=$BH8,AH$6&lt;=$BI8),"遅","")))))</f>
        <v/>
      </c>
      <c r="AI8" s="93" t="str">
        <f>IF($BB8="","",IF(AI$6=$BJ8,"◆",IF(AND(AI$6&gt;=$BF8,AI$6&lt;=$BG8),IF(AND(AI$6&gt;=$BD8,AI$6&lt;=$BE8),"実","外"),IF(AND(AI$6&gt;=$BD8,AI$6&lt;=$BE8),"計",IF(AND(AI$6&gt;=$BH8,AI$6&lt;=$BI8),"遅","")))))</f>
        <v/>
      </c>
      <c r="AJ8" s="93" t="str">
        <f>IF($BB8="","",IF(AJ$6=$BJ8,"◆",IF(AND(AJ$6&gt;=$BF8,AJ$6&lt;=$BG8),IF(AND(AJ$6&gt;=$BD8,AJ$6&lt;=$BE8),"実","外"),IF(AND(AJ$6&gt;=$BD8,AJ$6&lt;=$BE8),"計",IF(AND(AJ$6&gt;=$BH8,AJ$6&lt;=$BI8),"遅","")))))</f>
        <v/>
      </c>
      <c r="AK8" s="93" t="str">
        <f>IF($BB8="","",IF(AK$6=$BJ8,"◆",IF(AND(AK$6&gt;=$BF8,AK$6&lt;=$BG8),IF(AND(AK$6&gt;=$BD8,AK$6&lt;=$BE8),"実","外"),IF(AND(AK$6&gt;=$BD8,AK$6&lt;=$BE8),"計",IF(AND(AK$6&gt;=$BH8,AK$6&lt;=$BI8),"遅","")))))</f>
        <v/>
      </c>
      <c r="AL8" s="93" t="str">
        <f>IF($BB8="","",IF(AL$6=$BJ8,"◆",IF(AND(AL$6&gt;=$BF8,AL$6&lt;=$BG8),IF(AND(AL$6&gt;=$BD8,AL$6&lt;=$BE8),"実","外"),IF(AND(AL$6&gt;=$BD8,AL$6&lt;=$BE8),"計",IF(AND(AL$6&gt;=$BH8,AL$6&lt;=$BI8),"遅","")))))</f>
        <v/>
      </c>
      <c r="AM8" s="93" t="str">
        <f>IF($BB8="","",IF(AM$6=$BJ8,"◆",IF(AND(AM$6&gt;=$BF8,AM$6&lt;=$BG8),IF(AND(AM$6&gt;=$BD8,AM$6&lt;=$BE8),"実","外"),IF(AND(AM$6&gt;=$BD8,AM$6&lt;=$BE8),"計",IF(AND(AM$6&gt;=$BH8,AM$6&lt;=$BI8),"遅","")))))</f>
        <v/>
      </c>
      <c r="AN8" s="93" t="str">
        <f>IF($BB8="","",IF(AN$6=$BJ8,"◆",IF(AND(AN$6&gt;=$BF8,AN$6&lt;=$BG8),IF(AND(AN$6&gt;=$BD8,AN$6&lt;=$BE8),"実","外"),IF(AND(AN$6&gt;=$BD8,AN$6&lt;=$BE8),"計",IF(AND(AN$6&gt;=$BH8,AN$6&lt;=$BI8),"遅","")))))</f>
        <v/>
      </c>
      <c r="AO8" s="93" t="str">
        <f>IF($BB8="","",IF(AO$6=$BJ8,"◆",IF(AND(AO$6&gt;=$BF8,AO$6&lt;=$BG8),IF(AND(AO$6&gt;=$BD8,AO$6&lt;=$BE8),"実","外"),IF(AND(AO$6&gt;=$BD8,AO$6&lt;=$BE8),"計",IF(AND(AO$6&gt;=$BH8,AO$6&lt;=$BI8),"遅","")))))</f>
        <v/>
      </c>
      <c r="AP8" s="93" t="str">
        <f>IF($BB8="","",IF(AP$6=$BJ8,"◆",IF(AND(AP$6&gt;=$BF8,AP$6&lt;=$BG8),IF(AND(AP$6&gt;=$BD8,AP$6&lt;=$BE8),"実","外"),IF(AND(AP$6&gt;=$BD8,AP$6&lt;=$BE8),"計",IF(AND(AP$6&gt;=$BH8,AP$6&lt;=$BI8),"遅","")))))</f>
        <v/>
      </c>
      <c r="AQ8" s="93" t="str">
        <f>IF($BB8="","",IF(AQ$6=$BJ8,"◆",IF(AND(AQ$6&gt;=$BF8,AQ$6&lt;=$BG8),IF(AND(AQ$6&gt;=$BD8,AQ$6&lt;=$BE8),"実","外"),IF(AND(AQ$6&gt;=$BD8,AQ$6&lt;=$BE8),"計",IF(AND(AQ$6&gt;=$BH8,AQ$6&lt;=$BI8),"遅","")))))</f>
        <v/>
      </c>
      <c r="AR8" s="93" t="str">
        <f>IF($BB8="","",IF(AR$6=$BJ8,"◆",IF(AND(AR$6&gt;=$BF8,AR$6&lt;=$BG8),IF(AND(AR$6&gt;=$BD8,AR$6&lt;=$BE8),"実","外"),IF(AND(AR$6&gt;=$BD8,AR$6&lt;=$BE8),"計",IF(AND(AR$6&gt;=$BH8,AR$6&lt;=$BI8),"遅","")))))</f>
        <v/>
      </c>
      <c r="AS8" s="93" t="str">
        <f>IF($BB8="","",IF(AS$6=$BJ8,"◆",IF(AND(AS$6&gt;=$BF8,AS$6&lt;=$BG8),IF(AND(AS$6&gt;=$BD8,AS$6&lt;=$BE8),"実","外"),IF(AND(AS$6&gt;=$BD8,AS$6&lt;=$BE8),"計",IF(AND(AS$6&gt;=$BH8,AS$6&lt;=$BI8),"遅","")))))</f>
        <v/>
      </c>
      <c r="AT8" s="93" t="str">
        <f>IF($BB8="","",IF(AT$6=$BJ8,"◆",IF(AND(AT$6&gt;=$BF8,AT$6&lt;=$BG8),IF(AND(AT$6&gt;=$BD8,AT$6&lt;=$BE8),"実","外"),IF(AND(AT$6&gt;=$BD8,AT$6&lt;=$BE8),"計",IF(AND(AT$6&gt;=$BH8,AT$6&lt;=$BI8),"遅","")))))</f>
        <v/>
      </c>
      <c r="AU8" s="93" t="str">
        <f>IF($BB8="","",IF(AU$6=$BJ8,"◆",IF(AND(AU$6&gt;=$BF8,AU$6&lt;=$BG8),IF(AND(AU$6&gt;=$BD8,AU$6&lt;=$BE8),"実","外"),IF(AND(AU$6&gt;=$BD8,AU$6&lt;=$BE8),"計",IF(AND(AU$6&gt;=$BH8,AU$6&lt;=$BI8),"遅","")))))</f>
        <v/>
      </c>
      <c r="AV8" s="93" t="str">
        <f>IF($BB8="","",IF(AV$6=$BJ8,"◆",IF(AND(AV$6&gt;=$BF8,AV$6&lt;=$BG8),IF(AND(AV$6&gt;=$BD8,AV$6&lt;=$BE8),"実","外"),IF(AND(AV$6&gt;=$BD8,AV$6&lt;=$BE8),"計",IF(AND(AV$6&gt;=$BH8,AV$6&lt;=$BI8),"遅","")))))</f>
        <v/>
      </c>
      <c r="AW8" s="93" t="str">
        <f>IF($BB8="","",IF(AW$6=$BJ8,"◆",IF(AND(AW$6&gt;=$BF8,AW$6&lt;=$BG8),IF(AND(AW$6&gt;=$BD8,AW$6&lt;=$BE8),"実","外"),IF(AND(AW$6&gt;=$BD8,AW$6&lt;=$BE8),"計",IF(AND(AW$6&gt;=$BH8,AW$6&lt;=$BI8),"遅","")))))</f>
        <v/>
      </c>
      <c r="AX8" s="93" t="str">
        <f>IF($BB8="","",IF(AX$6=$BJ8,"◆",IF(AND(AX$6&gt;=$BF8,AX$6&lt;=$BG8),IF(AND(AX$6&gt;=$BD8,AX$6&lt;=$BE8),"実","外"),IF(AND(AX$6&gt;=$BD8,AX$6&lt;=$BE8),"計",IF(AND(AX$6&gt;=$BH8,AX$6&lt;=$BI8),"遅","")))))</f>
        <v/>
      </c>
      <c r="AY8" s="93" t="str">
        <f>IF($BB8="","",IF(AY$6=$BJ8,"◆",IF(AND(AY$6&gt;=$BF8,AY$6&lt;=$BG8),IF(AND(AY$6&gt;=$BD8,AY$6&lt;=$BE8),"実","外"),IF(AND(AY$6&gt;=$BD8,AY$6&lt;=$BE8),"計",IF(AND(AY$6&gt;=$BH8,AY$6&lt;=$BI8),"遅","")))))</f>
        <v/>
      </c>
      <c r="AZ8" s="93" t="str">
        <f>IF($BB8="","",IF(AZ$6=$BJ8,"◆",IF(AND(AZ$6&gt;=$BF8,AZ$6&lt;=$BG8),IF(AND(AZ$6&gt;=$BD8,AZ$6&lt;=$BE8),"実","外"),IF(AND(AZ$6&gt;=$BD8,AZ$6&lt;=$BE8),"計",IF(AND(AZ$6&gt;=$BH8,AZ$6&lt;=$BI8),"遅","")))))</f>
        <v/>
      </c>
      <c r="BB8">
        <f>IF(1&gt;COUNTIF(tblSteps[日別対象],1),"",IFERROR(MATCH(1,tblSteps[日別順位],0),""))</f>
        <v>22</v>
      </c>
      <c r="BC8" t="str">
        <f>IF($BB8="","",INDEX(tblSteps[案件ID],$BB8)&amp;"")</f>
        <v>A0023</v>
      </c>
      <c r="BD8">
        <f>IF($BB8="","",INDEX(tblSteps[計開],$BB8))</f>
        <v>46294</v>
      </c>
      <c r="BE8">
        <f>IF($BB8="","",INDEX(tblSteps[計終],$BB8))</f>
        <v>46296</v>
      </c>
      <c r="BF8">
        <f>IF($BB8="","",INDEX(tblSteps[実開],$BB8))</f>
        <v>46294</v>
      </c>
      <c r="BG8">
        <f>IF($BB8="","",INDEX(tblSteps[実終],$BB8))</f>
        <v>46300</v>
      </c>
      <c r="BH8">
        <f>IF($BB8="","",INDEX(tblSteps[遅開],$BB8))</f>
        <v>46297</v>
      </c>
      <c r="BI8">
        <f>IF($BB8="","",INDEX(tblSteps[遅終],$BB8))</f>
        <v>46300</v>
      </c>
      <c r="BJ8">
        <f>IF($BB8="","",INDEX(tblSteps[納期値],$BB8))</f>
        <v>46297</v>
      </c>
    </row>
    <row r="9" ht="18" customHeight="1">
      <c r="A9" s="89" t="str">
        <f>IF($BB9="","",INDEX(tblSteps[工程ID],$BB9)&amp;"")</f>
        <v>S0023</v>
      </c>
      <c r="B9" s="88" t="str">
        <f>IF($BB9="","",IF($BC9=$BC8,"",$BC9&amp;" "&amp;INDEX(tblSteps[案件名],$BB9)))</f>
        <v/>
      </c>
      <c r="C9" s="88" t="str">
        <f>IF($BB9="","",INDEX(tblSteps[工程名],$BB9)&amp;"")</f>
        <v>報告書の提出</v>
      </c>
      <c r="D9" s="89" t="str">
        <f>IF($BB9="","",INDEX(tblSteps[担当],$BB9)&amp;"")</f>
        <v>渡辺</v>
      </c>
      <c r="E9" s="89" t="str">
        <f>IF($BB9="","",INDEX(tblSteps[状態],$BB9)&amp;"")</f>
        <v>未着手</v>
      </c>
      <c r="F9" s="90">
        <f>IF($BB9="","",IF(ISNUMBER(INDEX(tblSteps[進捗率],$BB9)),INDEX(tblSteps[進捗率],$BB9),""))</f>
        <v>0</v>
      </c>
      <c r="G9" s="91">
        <f>IF($BB9="","",IF(ISNUMBER(INDEX(tblSteps[計画開始日],$BB9)),INDEX(tblSteps[計画開始日],$BB9),"未入力"))</f>
        <v>46297.0</v>
      </c>
      <c r="H9" s="91">
        <f>IF($BB9="","",IF(ISNUMBER(INDEX(tblSteps[計画終了日],$BB9)),INDEX(tblSteps[計画終了日],$BB9),"未入力"))</f>
        <v>46297.0</v>
      </c>
      <c r="I9" s="91" t="str">
        <f>IF($BB9="","",IF(ISNUMBER(INDEX(tblSteps[完了見込日],$BB9)),INDEX(tblSteps[完了見込日],$BB9),""))</f>
        <v/>
      </c>
      <c r="J9" s="92" t="str">
        <f>IF($BB9="","",INDEX(tblSteps[注意短],$BB9)&amp;"")</f>
        <v>期限超過3日</v>
      </c>
      <c r="K9" s="93" t="str">
        <f>IF($BB9="","",IF(K$6=$BJ9,"◆",IF(AND(K$6&gt;=$BF9,K$6&lt;=$BG9),IF(AND(K$6&gt;=$BD9,K$6&lt;=$BE9),"実","外"),IF(AND(K$6&gt;=$BD9,K$6&lt;=$BE9),"計",IF(AND(K$6&gt;=$BH9,K$6&lt;=$BI9),"遅","")))))</f>
        <v/>
      </c>
      <c r="L9" s="93" t="str">
        <f>IF($BB9="","",IF(L$6=$BJ9,"◆",IF(AND(L$6&gt;=$BF9,L$6&lt;=$BG9),IF(AND(L$6&gt;=$BD9,L$6&lt;=$BE9),"実","外"),IF(AND(L$6&gt;=$BD9,L$6&lt;=$BE9),"計",IF(AND(L$6&gt;=$BH9,L$6&lt;=$BI9),"遅","")))))</f>
        <v/>
      </c>
      <c r="M9" s="93" t="str">
        <f>IF($BB9="","",IF(M$6=$BJ9,"◆",IF(AND(M$6&gt;=$BF9,M$6&lt;=$BG9),IF(AND(M$6&gt;=$BD9,M$6&lt;=$BE9),"実","外"),IF(AND(M$6&gt;=$BD9,M$6&lt;=$BE9),"計",IF(AND(M$6&gt;=$BH9,M$6&lt;=$BI9),"遅","")))))</f>
        <v/>
      </c>
      <c r="N9" s="93" t="str">
        <f>IF($BB9="","",IF(N$6=$BJ9,"◆",IF(AND(N$6&gt;=$BF9,N$6&lt;=$BG9),IF(AND(N$6&gt;=$BD9,N$6&lt;=$BE9),"実","外"),IF(AND(N$6&gt;=$BD9,N$6&lt;=$BE9),"計",IF(AND(N$6&gt;=$BH9,N$6&lt;=$BI9),"遅","")))))</f>
        <v/>
      </c>
      <c r="O9" s="93" t="str">
        <f>IF($BB9="","",IF(O$6=$BJ9,"◆",IF(AND(O$6&gt;=$BF9,O$6&lt;=$BG9),IF(AND(O$6&gt;=$BD9,O$6&lt;=$BE9),"実","外"),IF(AND(O$6&gt;=$BD9,O$6&lt;=$BE9),"計",IF(AND(O$6&gt;=$BH9,O$6&lt;=$BI9),"遅","")))))</f>
        <v>◆</v>
      </c>
      <c r="P9" s="93" t="str">
        <f>IF($BB9="","",IF(P$6=$BJ9,"◆",IF(AND(P$6&gt;=$BF9,P$6&lt;=$BG9),IF(AND(P$6&gt;=$BD9,P$6&lt;=$BE9),"実","外"),IF(AND(P$6&gt;=$BD9,P$6&lt;=$BE9),"計",IF(AND(P$6&gt;=$BH9,P$6&lt;=$BI9),"遅","")))))</f>
        <v>遅</v>
      </c>
      <c r="Q9" s="93" t="str">
        <f>IF($BB9="","",IF(Q$6=$BJ9,"◆",IF(AND(Q$6&gt;=$BF9,Q$6&lt;=$BG9),IF(AND(Q$6&gt;=$BD9,Q$6&lt;=$BE9),"実","外"),IF(AND(Q$6&gt;=$BD9,Q$6&lt;=$BE9),"計",IF(AND(Q$6&gt;=$BH9,Q$6&lt;=$BI9),"遅","")))))</f>
        <v>遅</v>
      </c>
      <c r="R9" s="93" t="str">
        <f>IF($BB9="","",IF(R$6=$BJ9,"◆",IF(AND(R$6&gt;=$BF9,R$6&lt;=$BG9),IF(AND(R$6&gt;=$BD9,R$6&lt;=$BE9),"実","外"),IF(AND(R$6&gt;=$BD9,R$6&lt;=$BE9),"計",IF(AND(R$6&gt;=$BH9,R$6&lt;=$BI9),"遅","")))))</f>
        <v>遅</v>
      </c>
      <c r="S9" s="93" t="str">
        <f>IF($BB9="","",IF(S$6=$BJ9,"◆",IF(AND(S$6&gt;=$BF9,S$6&lt;=$BG9),IF(AND(S$6&gt;=$BD9,S$6&lt;=$BE9),"実","外"),IF(AND(S$6&gt;=$BD9,S$6&lt;=$BE9),"計",IF(AND(S$6&gt;=$BH9,S$6&lt;=$BI9),"遅","")))))</f>
        <v/>
      </c>
      <c r="T9" s="93" t="str">
        <f>IF($BB9="","",IF(T$6=$BJ9,"◆",IF(AND(T$6&gt;=$BF9,T$6&lt;=$BG9),IF(AND(T$6&gt;=$BD9,T$6&lt;=$BE9),"実","外"),IF(AND(T$6&gt;=$BD9,T$6&lt;=$BE9),"計",IF(AND(T$6&gt;=$BH9,T$6&lt;=$BI9),"遅","")))))</f>
        <v/>
      </c>
      <c r="U9" s="93" t="str">
        <f>IF($BB9="","",IF(U$6=$BJ9,"◆",IF(AND(U$6&gt;=$BF9,U$6&lt;=$BG9),IF(AND(U$6&gt;=$BD9,U$6&lt;=$BE9),"実","外"),IF(AND(U$6&gt;=$BD9,U$6&lt;=$BE9),"計",IF(AND(U$6&gt;=$BH9,U$6&lt;=$BI9),"遅","")))))</f>
        <v/>
      </c>
      <c r="V9" s="93" t="str">
        <f>IF($BB9="","",IF(V$6=$BJ9,"◆",IF(AND(V$6&gt;=$BF9,V$6&lt;=$BG9),IF(AND(V$6&gt;=$BD9,V$6&lt;=$BE9),"実","外"),IF(AND(V$6&gt;=$BD9,V$6&lt;=$BE9),"計",IF(AND(V$6&gt;=$BH9,V$6&lt;=$BI9),"遅","")))))</f>
        <v/>
      </c>
      <c r="W9" s="93" t="str">
        <f>IF($BB9="","",IF(W$6=$BJ9,"◆",IF(AND(W$6&gt;=$BF9,W$6&lt;=$BG9),IF(AND(W$6&gt;=$BD9,W$6&lt;=$BE9),"実","外"),IF(AND(W$6&gt;=$BD9,W$6&lt;=$BE9),"計",IF(AND(W$6&gt;=$BH9,W$6&lt;=$BI9),"遅","")))))</f>
        <v/>
      </c>
      <c r="X9" s="93" t="str">
        <f>IF($BB9="","",IF(X$6=$BJ9,"◆",IF(AND(X$6&gt;=$BF9,X$6&lt;=$BG9),IF(AND(X$6&gt;=$BD9,X$6&lt;=$BE9),"実","外"),IF(AND(X$6&gt;=$BD9,X$6&lt;=$BE9),"計",IF(AND(X$6&gt;=$BH9,X$6&lt;=$BI9),"遅","")))))</f>
        <v/>
      </c>
      <c r="Y9" s="93" t="str">
        <f>IF($BB9="","",IF(Y$6=$BJ9,"◆",IF(AND(Y$6&gt;=$BF9,Y$6&lt;=$BG9),IF(AND(Y$6&gt;=$BD9,Y$6&lt;=$BE9),"実","外"),IF(AND(Y$6&gt;=$BD9,Y$6&lt;=$BE9),"計",IF(AND(Y$6&gt;=$BH9,Y$6&lt;=$BI9),"遅","")))))</f>
        <v/>
      </c>
      <c r="Z9" s="93" t="str">
        <f>IF($BB9="","",IF(Z$6=$BJ9,"◆",IF(AND(Z$6&gt;=$BF9,Z$6&lt;=$BG9),IF(AND(Z$6&gt;=$BD9,Z$6&lt;=$BE9),"実","外"),IF(AND(Z$6&gt;=$BD9,Z$6&lt;=$BE9),"計",IF(AND(Z$6&gt;=$BH9,Z$6&lt;=$BI9),"遅","")))))</f>
        <v/>
      </c>
      <c r="AA9" s="93" t="str">
        <f>IF($BB9="","",IF(AA$6=$BJ9,"◆",IF(AND(AA$6&gt;=$BF9,AA$6&lt;=$BG9),IF(AND(AA$6&gt;=$BD9,AA$6&lt;=$BE9),"実","外"),IF(AND(AA$6&gt;=$BD9,AA$6&lt;=$BE9),"計",IF(AND(AA$6&gt;=$BH9,AA$6&lt;=$BI9),"遅","")))))</f>
        <v/>
      </c>
      <c r="AB9" s="93" t="str">
        <f>IF($BB9="","",IF(AB$6=$BJ9,"◆",IF(AND(AB$6&gt;=$BF9,AB$6&lt;=$BG9),IF(AND(AB$6&gt;=$BD9,AB$6&lt;=$BE9),"実","外"),IF(AND(AB$6&gt;=$BD9,AB$6&lt;=$BE9),"計",IF(AND(AB$6&gt;=$BH9,AB$6&lt;=$BI9),"遅","")))))</f>
        <v/>
      </c>
      <c r="AC9" s="93" t="str">
        <f>IF($BB9="","",IF(AC$6=$BJ9,"◆",IF(AND(AC$6&gt;=$BF9,AC$6&lt;=$BG9),IF(AND(AC$6&gt;=$BD9,AC$6&lt;=$BE9),"実","外"),IF(AND(AC$6&gt;=$BD9,AC$6&lt;=$BE9),"計",IF(AND(AC$6&gt;=$BH9,AC$6&lt;=$BI9),"遅","")))))</f>
        <v/>
      </c>
      <c r="AD9" s="93" t="str">
        <f>IF($BB9="","",IF(AD$6=$BJ9,"◆",IF(AND(AD$6&gt;=$BF9,AD$6&lt;=$BG9),IF(AND(AD$6&gt;=$BD9,AD$6&lt;=$BE9),"実","外"),IF(AND(AD$6&gt;=$BD9,AD$6&lt;=$BE9),"計",IF(AND(AD$6&gt;=$BH9,AD$6&lt;=$BI9),"遅","")))))</f>
        <v/>
      </c>
      <c r="AE9" s="93" t="str">
        <f>IF($BB9="","",IF(AE$6=$BJ9,"◆",IF(AND(AE$6&gt;=$BF9,AE$6&lt;=$BG9),IF(AND(AE$6&gt;=$BD9,AE$6&lt;=$BE9),"実","外"),IF(AND(AE$6&gt;=$BD9,AE$6&lt;=$BE9),"計",IF(AND(AE$6&gt;=$BH9,AE$6&lt;=$BI9),"遅","")))))</f>
        <v/>
      </c>
      <c r="AF9" s="93" t="str">
        <f>IF($BB9="","",IF(AF$6=$BJ9,"◆",IF(AND(AF$6&gt;=$BF9,AF$6&lt;=$BG9),IF(AND(AF$6&gt;=$BD9,AF$6&lt;=$BE9),"実","外"),IF(AND(AF$6&gt;=$BD9,AF$6&lt;=$BE9),"計",IF(AND(AF$6&gt;=$BH9,AF$6&lt;=$BI9),"遅","")))))</f>
        <v/>
      </c>
      <c r="AG9" s="93" t="str">
        <f>IF($BB9="","",IF(AG$6=$BJ9,"◆",IF(AND(AG$6&gt;=$BF9,AG$6&lt;=$BG9),IF(AND(AG$6&gt;=$BD9,AG$6&lt;=$BE9),"実","外"),IF(AND(AG$6&gt;=$BD9,AG$6&lt;=$BE9),"計",IF(AND(AG$6&gt;=$BH9,AG$6&lt;=$BI9),"遅","")))))</f>
        <v/>
      </c>
      <c r="AH9" s="93" t="str">
        <f>IF($BB9="","",IF(AH$6=$BJ9,"◆",IF(AND(AH$6&gt;=$BF9,AH$6&lt;=$BG9),IF(AND(AH$6&gt;=$BD9,AH$6&lt;=$BE9),"実","外"),IF(AND(AH$6&gt;=$BD9,AH$6&lt;=$BE9),"計",IF(AND(AH$6&gt;=$BH9,AH$6&lt;=$BI9),"遅","")))))</f>
        <v/>
      </c>
      <c r="AI9" s="93" t="str">
        <f>IF($BB9="","",IF(AI$6=$BJ9,"◆",IF(AND(AI$6&gt;=$BF9,AI$6&lt;=$BG9),IF(AND(AI$6&gt;=$BD9,AI$6&lt;=$BE9),"実","外"),IF(AND(AI$6&gt;=$BD9,AI$6&lt;=$BE9),"計",IF(AND(AI$6&gt;=$BH9,AI$6&lt;=$BI9),"遅","")))))</f>
        <v/>
      </c>
      <c r="AJ9" s="93" t="str">
        <f>IF($BB9="","",IF(AJ$6=$BJ9,"◆",IF(AND(AJ$6&gt;=$BF9,AJ$6&lt;=$BG9),IF(AND(AJ$6&gt;=$BD9,AJ$6&lt;=$BE9),"実","外"),IF(AND(AJ$6&gt;=$BD9,AJ$6&lt;=$BE9),"計",IF(AND(AJ$6&gt;=$BH9,AJ$6&lt;=$BI9),"遅","")))))</f>
        <v/>
      </c>
      <c r="AK9" s="93" t="str">
        <f>IF($BB9="","",IF(AK$6=$BJ9,"◆",IF(AND(AK$6&gt;=$BF9,AK$6&lt;=$BG9),IF(AND(AK$6&gt;=$BD9,AK$6&lt;=$BE9),"実","外"),IF(AND(AK$6&gt;=$BD9,AK$6&lt;=$BE9),"計",IF(AND(AK$6&gt;=$BH9,AK$6&lt;=$BI9),"遅","")))))</f>
        <v/>
      </c>
      <c r="AL9" s="93" t="str">
        <f>IF($BB9="","",IF(AL$6=$BJ9,"◆",IF(AND(AL$6&gt;=$BF9,AL$6&lt;=$BG9),IF(AND(AL$6&gt;=$BD9,AL$6&lt;=$BE9),"実","外"),IF(AND(AL$6&gt;=$BD9,AL$6&lt;=$BE9),"計",IF(AND(AL$6&gt;=$BH9,AL$6&lt;=$BI9),"遅","")))))</f>
        <v/>
      </c>
      <c r="AM9" s="93" t="str">
        <f>IF($BB9="","",IF(AM$6=$BJ9,"◆",IF(AND(AM$6&gt;=$BF9,AM$6&lt;=$BG9),IF(AND(AM$6&gt;=$BD9,AM$6&lt;=$BE9),"実","外"),IF(AND(AM$6&gt;=$BD9,AM$6&lt;=$BE9),"計",IF(AND(AM$6&gt;=$BH9,AM$6&lt;=$BI9),"遅","")))))</f>
        <v/>
      </c>
      <c r="AN9" s="93" t="str">
        <f>IF($BB9="","",IF(AN$6=$BJ9,"◆",IF(AND(AN$6&gt;=$BF9,AN$6&lt;=$BG9),IF(AND(AN$6&gt;=$BD9,AN$6&lt;=$BE9),"実","外"),IF(AND(AN$6&gt;=$BD9,AN$6&lt;=$BE9),"計",IF(AND(AN$6&gt;=$BH9,AN$6&lt;=$BI9),"遅","")))))</f>
        <v/>
      </c>
      <c r="AO9" s="93" t="str">
        <f>IF($BB9="","",IF(AO$6=$BJ9,"◆",IF(AND(AO$6&gt;=$BF9,AO$6&lt;=$BG9),IF(AND(AO$6&gt;=$BD9,AO$6&lt;=$BE9),"実","外"),IF(AND(AO$6&gt;=$BD9,AO$6&lt;=$BE9),"計",IF(AND(AO$6&gt;=$BH9,AO$6&lt;=$BI9),"遅","")))))</f>
        <v/>
      </c>
      <c r="AP9" s="93" t="str">
        <f>IF($BB9="","",IF(AP$6=$BJ9,"◆",IF(AND(AP$6&gt;=$BF9,AP$6&lt;=$BG9),IF(AND(AP$6&gt;=$BD9,AP$6&lt;=$BE9),"実","外"),IF(AND(AP$6&gt;=$BD9,AP$6&lt;=$BE9),"計",IF(AND(AP$6&gt;=$BH9,AP$6&lt;=$BI9),"遅","")))))</f>
        <v/>
      </c>
      <c r="AQ9" s="93" t="str">
        <f>IF($BB9="","",IF(AQ$6=$BJ9,"◆",IF(AND(AQ$6&gt;=$BF9,AQ$6&lt;=$BG9),IF(AND(AQ$6&gt;=$BD9,AQ$6&lt;=$BE9),"実","外"),IF(AND(AQ$6&gt;=$BD9,AQ$6&lt;=$BE9),"計",IF(AND(AQ$6&gt;=$BH9,AQ$6&lt;=$BI9),"遅","")))))</f>
        <v/>
      </c>
      <c r="AR9" s="93" t="str">
        <f>IF($BB9="","",IF(AR$6=$BJ9,"◆",IF(AND(AR$6&gt;=$BF9,AR$6&lt;=$BG9),IF(AND(AR$6&gt;=$BD9,AR$6&lt;=$BE9),"実","外"),IF(AND(AR$6&gt;=$BD9,AR$6&lt;=$BE9),"計",IF(AND(AR$6&gt;=$BH9,AR$6&lt;=$BI9),"遅","")))))</f>
        <v/>
      </c>
      <c r="AS9" s="93" t="str">
        <f>IF($BB9="","",IF(AS$6=$BJ9,"◆",IF(AND(AS$6&gt;=$BF9,AS$6&lt;=$BG9),IF(AND(AS$6&gt;=$BD9,AS$6&lt;=$BE9),"実","外"),IF(AND(AS$6&gt;=$BD9,AS$6&lt;=$BE9),"計",IF(AND(AS$6&gt;=$BH9,AS$6&lt;=$BI9),"遅","")))))</f>
        <v/>
      </c>
      <c r="AT9" s="93" t="str">
        <f>IF($BB9="","",IF(AT$6=$BJ9,"◆",IF(AND(AT$6&gt;=$BF9,AT$6&lt;=$BG9),IF(AND(AT$6&gt;=$BD9,AT$6&lt;=$BE9),"実","外"),IF(AND(AT$6&gt;=$BD9,AT$6&lt;=$BE9),"計",IF(AND(AT$6&gt;=$BH9,AT$6&lt;=$BI9),"遅","")))))</f>
        <v/>
      </c>
      <c r="AU9" s="93" t="str">
        <f>IF($BB9="","",IF(AU$6=$BJ9,"◆",IF(AND(AU$6&gt;=$BF9,AU$6&lt;=$BG9),IF(AND(AU$6&gt;=$BD9,AU$6&lt;=$BE9),"実","外"),IF(AND(AU$6&gt;=$BD9,AU$6&lt;=$BE9),"計",IF(AND(AU$6&gt;=$BH9,AU$6&lt;=$BI9),"遅","")))))</f>
        <v/>
      </c>
      <c r="AV9" s="93" t="str">
        <f>IF($BB9="","",IF(AV$6=$BJ9,"◆",IF(AND(AV$6&gt;=$BF9,AV$6&lt;=$BG9),IF(AND(AV$6&gt;=$BD9,AV$6&lt;=$BE9),"実","外"),IF(AND(AV$6&gt;=$BD9,AV$6&lt;=$BE9),"計",IF(AND(AV$6&gt;=$BH9,AV$6&lt;=$BI9),"遅","")))))</f>
        <v/>
      </c>
      <c r="AW9" s="93" t="str">
        <f>IF($BB9="","",IF(AW$6=$BJ9,"◆",IF(AND(AW$6&gt;=$BF9,AW$6&lt;=$BG9),IF(AND(AW$6&gt;=$BD9,AW$6&lt;=$BE9),"実","外"),IF(AND(AW$6&gt;=$BD9,AW$6&lt;=$BE9),"計",IF(AND(AW$6&gt;=$BH9,AW$6&lt;=$BI9),"遅","")))))</f>
        <v/>
      </c>
      <c r="AX9" s="93" t="str">
        <f>IF($BB9="","",IF(AX$6=$BJ9,"◆",IF(AND(AX$6&gt;=$BF9,AX$6&lt;=$BG9),IF(AND(AX$6&gt;=$BD9,AX$6&lt;=$BE9),"実","外"),IF(AND(AX$6&gt;=$BD9,AX$6&lt;=$BE9),"計",IF(AND(AX$6&gt;=$BH9,AX$6&lt;=$BI9),"遅","")))))</f>
        <v/>
      </c>
      <c r="AY9" s="93" t="str">
        <f>IF($BB9="","",IF(AY$6=$BJ9,"◆",IF(AND(AY$6&gt;=$BF9,AY$6&lt;=$BG9),IF(AND(AY$6&gt;=$BD9,AY$6&lt;=$BE9),"実","外"),IF(AND(AY$6&gt;=$BD9,AY$6&lt;=$BE9),"計",IF(AND(AY$6&gt;=$BH9,AY$6&lt;=$BI9),"遅","")))))</f>
        <v/>
      </c>
      <c r="AZ9" s="93" t="str">
        <f>IF($BB9="","",IF(AZ$6=$BJ9,"◆",IF(AND(AZ$6&gt;=$BF9,AZ$6&lt;=$BG9),IF(AND(AZ$6&gt;=$BD9,AZ$6&lt;=$BE9),"実","外"),IF(AND(AZ$6&gt;=$BD9,AZ$6&lt;=$BE9),"計",IF(AND(AZ$6&gt;=$BH9,AZ$6&lt;=$BI9),"遅","")))))</f>
        <v/>
      </c>
      <c r="BB9">
        <f>IF(2&gt;COUNTIF(tblSteps[日別対象],1),"",IFERROR(MATCH(2,tblSteps[日別順位],0),""))</f>
        <v>23</v>
      </c>
      <c r="BC9" t="str">
        <f>IF($BB9="","",INDEX(tblSteps[案件ID],$BB9)&amp;"")</f>
        <v>A0023</v>
      </c>
      <c r="BD9">
        <f>IF($BB9="","",INDEX(tblSteps[計開],$BB9))</f>
        <v>46297</v>
      </c>
      <c r="BE9">
        <f>IF($BB9="","",INDEX(tblSteps[計終],$BB9))</f>
        <v>46297</v>
      </c>
      <c r="BF9">
        <f>IF($BB9="","",INDEX(tblSteps[実開],$BB9))</f>
        <v>1</v>
      </c>
      <c r="BG9">
        <f>IF($BB9="","",INDEX(tblSteps[実終],$BB9))</f>
        <v>0</v>
      </c>
      <c r="BH9">
        <f>IF($BB9="","",INDEX(tblSteps[遅開],$BB9))</f>
        <v>46298</v>
      </c>
      <c r="BI9">
        <f>IF($BB9="","",INDEX(tblSteps[遅終],$BB9))</f>
        <v>46300</v>
      </c>
      <c r="BJ9">
        <f>IF($BB9="","",INDEX(tblSteps[納期値],$BB9))</f>
        <v>46297</v>
      </c>
    </row>
    <row r="10" ht="18" customHeight="1">
      <c r="A10" s="89" t="str">
        <f>IF($BB10="","",INDEX(tblSteps[工程ID],$BB10)&amp;"")</f>
        <v>S0029</v>
      </c>
      <c r="B10" s="88" t="str">
        <f>IF($BB10="","",IF($BC10=$BC9,"",$BC10&amp;" "&amp;INDEX(tblSteps[案件名],$BB10)))</f>
        <v/>
      </c>
      <c r="C10" s="88" t="str">
        <f>IF($BB10="","",INDEX(tblSteps[工程名],$BB10)&amp;"")</f>
        <v>報告会</v>
      </c>
      <c r="D10" s="89" t="str">
        <f>IF($BB10="","",INDEX(tblSteps[担当],$BB10)&amp;"")</f>
        <v>渡辺</v>
      </c>
      <c r="E10" s="89" t="str">
        <f>IF($BB10="","",INDEX(tblSteps[状態],$BB10)&amp;"")</f>
        <v>未着手</v>
      </c>
      <c r="F10" s="90">
        <f>IF($BB10="","",IF(ISNUMBER(INDEX(tblSteps[進捗率],$BB10)),INDEX(tblSteps[進捗率],$BB10),""))</f>
        <v>0</v>
      </c>
      <c r="G10" s="91">
        <f>IF($BB10="","",IF(ISNUMBER(INDEX(tblSteps[計画開始日],$BB10)),INDEX(tblSteps[計画開始日],$BB10),"未入力"))</f>
        <v>46302.0</v>
      </c>
      <c r="H10" s="91">
        <f>IF($BB10="","",IF(ISNUMBER(INDEX(tblSteps[計画終了日],$BB10)),INDEX(tblSteps[計画終了日],$BB10),"未入力"))</f>
        <v>46302.0</v>
      </c>
      <c r="I10" s="91" t="str">
        <f>IF($BB10="","",IF(ISNUMBER(INDEX(tblSteps[完了見込日],$BB10)),INDEX(tblSteps[完了見込日],$BB10),""))</f>
        <v/>
      </c>
      <c r="J10" s="92" t="str">
        <f>IF($BB10="","",INDEX(tblSteps[注意短],$BB10)&amp;"")</f>
        <v>納期遅れ見込</v>
      </c>
      <c r="K10" s="93" t="str">
        <f>IF($BB10="","",IF(K$6=$BJ10,"◆",IF(AND(K$6&gt;=$BF10,K$6&lt;=$BG10),IF(AND(K$6&gt;=$BD10,K$6&lt;=$BE10),"実","外"),IF(AND(K$6&gt;=$BD10,K$6&lt;=$BE10),"計",IF(AND(K$6&gt;=$BH10,K$6&lt;=$BI10),"遅","")))))</f>
        <v/>
      </c>
      <c r="L10" s="93" t="str">
        <f>IF($BB10="","",IF(L$6=$BJ10,"◆",IF(AND(L$6&gt;=$BF10,L$6&lt;=$BG10),IF(AND(L$6&gt;=$BD10,L$6&lt;=$BE10),"実","外"),IF(AND(L$6&gt;=$BD10,L$6&lt;=$BE10),"計",IF(AND(L$6&gt;=$BH10,L$6&lt;=$BI10),"遅","")))))</f>
        <v/>
      </c>
      <c r="M10" s="93" t="str">
        <f>IF($BB10="","",IF(M$6=$BJ10,"◆",IF(AND(M$6&gt;=$BF10,M$6&lt;=$BG10),IF(AND(M$6&gt;=$BD10,M$6&lt;=$BE10),"実","外"),IF(AND(M$6&gt;=$BD10,M$6&lt;=$BE10),"計",IF(AND(M$6&gt;=$BH10,M$6&lt;=$BI10),"遅","")))))</f>
        <v/>
      </c>
      <c r="N10" s="93" t="str">
        <f>IF($BB10="","",IF(N$6=$BJ10,"◆",IF(AND(N$6&gt;=$BF10,N$6&lt;=$BG10),IF(AND(N$6&gt;=$BD10,N$6&lt;=$BE10),"実","外"),IF(AND(N$6&gt;=$BD10,N$6&lt;=$BE10),"計",IF(AND(N$6&gt;=$BH10,N$6&lt;=$BI10),"遅","")))))</f>
        <v/>
      </c>
      <c r="O10" s="93" t="str">
        <f>IF($BB10="","",IF(O$6=$BJ10,"◆",IF(AND(O$6&gt;=$BF10,O$6&lt;=$BG10),IF(AND(O$6&gt;=$BD10,O$6&lt;=$BE10),"実","外"),IF(AND(O$6&gt;=$BD10,O$6&lt;=$BE10),"計",IF(AND(O$6&gt;=$BH10,O$6&lt;=$BI10),"遅","")))))</f>
        <v>◆</v>
      </c>
      <c r="P10" s="93" t="str">
        <f>IF($BB10="","",IF(P$6=$BJ10,"◆",IF(AND(P$6&gt;=$BF10,P$6&lt;=$BG10),IF(AND(P$6&gt;=$BD10,P$6&lt;=$BE10),"実","外"),IF(AND(P$6&gt;=$BD10,P$6&lt;=$BE10),"計",IF(AND(P$6&gt;=$BH10,P$6&lt;=$BI10),"遅","")))))</f>
        <v/>
      </c>
      <c r="Q10" s="93" t="str">
        <f>IF($BB10="","",IF(Q$6=$BJ10,"◆",IF(AND(Q$6&gt;=$BF10,Q$6&lt;=$BG10),IF(AND(Q$6&gt;=$BD10,Q$6&lt;=$BE10),"実","外"),IF(AND(Q$6&gt;=$BD10,Q$6&lt;=$BE10),"計",IF(AND(Q$6&gt;=$BH10,Q$6&lt;=$BI10),"遅","")))))</f>
        <v/>
      </c>
      <c r="R10" s="93" t="str">
        <f>IF($BB10="","",IF(R$6=$BJ10,"◆",IF(AND(R$6&gt;=$BF10,R$6&lt;=$BG10),IF(AND(R$6&gt;=$BD10,R$6&lt;=$BE10),"実","外"),IF(AND(R$6&gt;=$BD10,R$6&lt;=$BE10),"計",IF(AND(R$6&gt;=$BH10,R$6&lt;=$BI10),"遅","")))))</f>
        <v/>
      </c>
      <c r="S10" s="93" t="str">
        <f>IF($BB10="","",IF(S$6=$BJ10,"◆",IF(AND(S$6&gt;=$BF10,S$6&lt;=$BG10),IF(AND(S$6&gt;=$BD10,S$6&lt;=$BE10),"実","外"),IF(AND(S$6&gt;=$BD10,S$6&lt;=$BE10),"計",IF(AND(S$6&gt;=$BH10,S$6&lt;=$BI10),"遅","")))))</f>
        <v/>
      </c>
      <c r="T10" s="93" t="str">
        <f>IF($BB10="","",IF(T$6=$BJ10,"◆",IF(AND(T$6&gt;=$BF10,T$6&lt;=$BG10),IF(AND(T$6&gt;=$BD10,T$6&lt;=$BE10),"実","外"),IF(AND(T$6&gt;=$BD10,T$6&lt;=$BE10),"計",IF(AND(T$6&gt;=$BH10,T$6&lt;=$BI10),"遅","")))))</f>
        <v>計</v>
      </c>
      <c r="U10" s="93" t="str">
        <f>IF($BB10="","",IF(U$6=$BJ10,"◆",IF(AND(U$6&gt;=$BF10,U$6&lt;=$BG10),IF(AND(U$6&gt;=$BD10,U$6&lt;=$BE10),"実","外"),IF(AND(U$6&gt;=$BD10,U$6&lt;=$BE10),"計",IF(AND(U$6&gt;=$BH10,U$6&lt;=$BI10),"遅","")))))</f>
        <v/>
      </c>
      <c r="V10" s="93" t="str">
        <f>IF($BB10="","",IF(V$6=$BJ10,"◆",IF(AND(V$6&gt;=$BF10,V$6&lt;=$BG10),IF(AND(V$6&gt;=$BD10,V$6&lt;=$BE10),"実","外"),IF(AND(V$6&gt;=$BD10,V$6&lt;=$BE10),"計",IF(AND(V$6&gt;=$BH10,V$6&lt;=$BI10),"遅","")))))</f>
        <v/>
      </c>
      <c r="W10" s="93" t="str">
        <f>IF($BB10="","",IF(W$6=$BJ10,"◆",IF(AND(W$6&gt;=$BF10,W$6&lt;=$BG10),IF(AND(W$6&gt;=$BD10,W$6&lt;=$BE10),"実","外"),IF(AND(W$6&gt;=$BD10,W$6&lt;=$BE10),"計",IF(AND(W$6&gt;=$BH10,W$6&lt;=$BI10),"遅","")))))</f>
        <v/>
      </c>
      <c r="X10" s="93" t="str">
        <f>IF($BB10="","",IF(X$6=$BJ10,"◆",IF(AND(X$6&gt;=$BF10,X$6&lt;=$BG10),IF(AND(X$6&gt;=$BD10,X$6&lt;=$BE10),"実","外"),IF(AND(X$6&gt;=$BD10,X$6&lt;=$BE10),"計",IF(AND(X$6&gt;=$BH10,X$6&lt;=$BI10),"遅","")))))</f>
        <v/>
      </c>
      <c r="Y10" s="93" t="str">
        <f>IF($BB10="","",IF(Y$6=$BJ10,"◆",IF(AND(Y$6&gt;=$BF10,Y$6&lt;=$BG10),IF(AND(Y$6&gt;=$BD10,Y$6&lt;=$BE10),"実","外"),IF(AND(Y$6&gt;=$BD10,Y$6&lt;=$BE10),"計",IF(AND(Y$6&gt;=$BH10,Y$6&lt;=$BI10),"遅","")))))</f>
        <v/>
      </c>
      <c r="Z10" s="93" t="str">
        <f>IF($BB10="","",IF(Z$6=$BJ10,"◆",IF(AND(Z$6&gt;=$BF10,Z$6&lt;=$BG10),IF(AND(Z$6&gt;=$BD10,Z$6&lt;=$BE10),"実","外"),IF(AND(Z$6&gt;=$BD10,Z$6&lt;=$BE10),"計",IF(AND(Z$6&gt;=$BH10,Z$6&lt;=$BI10),"遅","")))))</f>
        <v/>
      </c>
      <c r="AA10" s="93" t="str">
        <f>IF($BB10="","",IF(AA$6=$BJ10,"◆",IF(AND(AA$6&gt;=$BF10,AA$6&lt;=$BG10),IF(AND(AA$6&gt;=$BD10,AA$6&lt;=$BE10),"実","外"),IF(AND(AA$6&gt;=$BD10,AA$6&lt;=$BE10),"計",IF(AND(AA$6&gt;=$BH10,AA$6&lt;=$BI10),"遅","")))))</f>
        <v/>
      </c>
      <c r="AB10" s="93" t="str">
        <f>IF($BB10="","",IF(AB$6=$BJ10,"◆",IF(AND(AB$6&gt;=$BF10,AB$6&lt;=$BG10),IF(AND(AB$6&gt;=$BD10,AB$6&lt;=$BE10),"実","外"),IF(AND(AB$6&gt;=$BD10,AB$6&lt;=$BE10),"計",IF(AND(AB$6&gt;=$BH10,AB$6&lt;=$BI10),"遅","")))))</f>
        <v/>
      </c>
      <c r="AC10" s="93" t="str">
        <f>IF($BB10="","",IF(AC$6=$BJ10,"◆",IF(AND(AC$6&gt;=$BF10,AC$6&lt;=$BG10),IF(AND(AC$6&gt;=$BD10,AC$6&lt;=$BE10),"実","外"),IF(AND(AC$6&gt;=$BD10,AC$6&lt;=$BE10),"計",IF(AND(AC$6&gt;=$BH10,AC$6&lt;=$BI10),"遅","")))))</f>
        <v/>
      </c>
      <c r="AD10" s="93" t="str">
        <f>IF($BB10="","",IF(AD$6=$BJ10,"◆",IF(AND(AD$6&gt;=$BF10,AD$6&lt;=$BG10),IF(AND(AD$6&gt;=$BD10,AD$6&lt;=$BE10),"実","外"),IF(AND(AD$6&gt;=$BD10,AD$6&lt;=$BE10),"計",IF(AND(AD$6&gt;=$BH10,AD$6&lt;=$BI10),"遅","")))))</f>
        <v/>
      </c>
      <c r="AE10" s="93" t="str">
        <f>IF($BB10="","",IF(AE$6=$BJ10,"◆",IF(AND(AE$6&gt;=$BF10,AE$6&lt;=$BG10),IF(AND(AE$6&gt;=$BD10,AE$6&lt;=$BE10),"実","外"),IF(AND(AE$6&gt;=$BD10,AE$6&lt;=$BE10),"計",IF(AND(AE$6&gt;=$BH10,AE$6&lt;=$BI10),"遅","")))))</f>
        <v/>
      </c>
      <c r="AF10" s="93" t="str">
        <f>IF($BB10="","",IF(AF$6=$BJ10,"◆",IF(AND(AF$6&gt;=$BF10,AF$6&lt;=$BG10),IF(AND(AF$6&gt;=$BD10,AF$6&lt;=$BE10),"実","外"),IF(AND(AF$6&gt;=$BD10,AF$6&lt;=$BE10),"計",IF(AND(AF$6&gt;=$BH10,AF$6&lt;=$BI10),"遅","")))))</f>
        <v/>
      </c>
      <c r="AG10" s="93" t="str">
        <f>IF($BB10="","",IF(AG$6=$BJ10,"◆",IF(AND(AG$6&gt;=$BF10,AG$6&lt;=$BG10),IF(AND(AG$6&gt;=$BD10,AG$6&lt;=$BE10),"実","外"),IF(AND(AG$6&gt;=$BD10,AG$6&lt;=$BE10),"計",IF(AND(AG$6&gt;=$BH10,AG$6&lt;=$BI10),"遅","")))))</f>
        <v/>
      </c>
      <c r="AH10" s="93" t="str">
        <f>IF($BB10="","",IF(AH$6=$BJ10,"◆",IF(AND(AH$6&gt;=$BF10,AH$6&lt;=$BG10),IF(AND(AH$6&gt;=$BD10,AH$6&lt;=$BE10),"実","外"),IF(AND(AH$6&gt;=$BD10,AH$6&lt;=$BE10),"計",IF(AND(AH$6&gt;=$BH10,AH$6&lt;=$BI10),"遅","")))))</f>
        <v/>
      </c>
      <c r="AI10" s="93" t="str">
        <f>IF($BB10="","",IF(AI$6=$BJ10,"◆",IF(AND(AI$6&gt;=$BF10,AI$6&lt;=$BG10),IF(AND(AI$6&gt;=$BD10,AI$6&lt;=$BE10),"実","外"),IF(AND(AI$6&gt;=$BD10,AI$6&lt;=$BE10),"計",IF(AND(AI$6&gt;=$BH10,AI$6&lt;=$BI10),"遅","")))))</f>
        <v/>
      </c>
      <c r="AJ10" s="93" t="str">
        <f>IF($BB10="","",IF(AJ$6=$BJ10,"◆",IF(AND(AJ$6&gt;=$BF10,AJ$6&lt;=$BG10),IF(AND(AJ$6&gt;=$BD10,AJ$6&lt;=$BE10),"実","外"),IF(AND(AJ$6&gt;=$BD10,AJ$6&lt;=$BE10),"計",IF(AND(AJ$6&gt;=$BH10,AJ$6&lt;=$BI10),"遅","")))))</f>
        <v/>
      </c>
      <c r="AK10" s="93" t="str">
        <f>IF($BB10="","",IF(AK$6=$BJ10,"◆",IF(AND(AK$6&gt;=$BF10,AK$6&lt;=$BG10),IF(AND(AK$6&gt;=$BD10,AK$6&lt;=$BE10),"実","外"),IF(AND(AK$6&gt;=$BD10,AK$6&lt;=$BE10),"計",IF(AND(AK$6&gt;=$BH10,AK$6&lt;=$BI10),"遅","")))))</f>
        <v/>
      </c>
      <c r="AL10" s="93" t="str">
        <f>IF($BB10="","",IF(AL$6=$BJ10,"◆",IF(AND(AL$6&gt;=$BF10,AL$6&lt;=$BG10),IF(AND(AL$6&gt;=$BD10,AL$6&lt;=$BE10),"実","外"),IF(AND(AL$6&gt;=$BD10,AL$6&lt;=$BE10),"計",IF(AND(AL$6&gt;=$BH10,AL$6&lt;=$BI10),"遅","")))))</f>
        <v/>
      </c>
      <c r="AM10" s="93" t="str">
        <f>IF($BB10="","",IF(AM$6=$BJ10,"◆",IF(AND(AM$6&gt;=$BF10,AM$6&lt;=$BG10),IF(AND(AM$6&gt;=$BD10,AM$6&lt;=$BE10),"実","外"),IF(AND(AM$6&gt;=$BD10,AM$6&lt;=$BE10),"計",IF(AND(AM$6&gt;=$BH10,AM$6&lt;=$BI10),"遅","")))))</f>
        <v/>
      </c>
      <c r="AN10" s="93" t="str">
        <f>IF($BB10="","",IF(AN$6=$BJ10,"◆",IF(AND(AN$6&gt;=$BF10,AN$6&lt;=$BG10),IF(AND(AN$6&gt;=$BD10,AN$6&lt;=$BE10),"実","外"),IF(AND(AN$6&gt;=$BD10,AN$6&lt;=$BE10),"計",IF(AND(AN$6&gt;=$BH10,AN$6&lt;=$BI10),"遅","")))))</f>
        <v/>
      </c>
      <c r="AO10" s="93" t="str">
        <f>IF($BB10="","",IF(AO$6=$BJ10,"◆",IF(AND(AO$6&gt;=$BF10,AO$6&lt;=$BG10),IF(AND(AO$6&gt;=$BD10,AO$6&lt;=$BE10),"実","外"),IF(AND(AO$6&gt;=$BD10,AO$6&lt;=$BE10),"計",IF(AND(AO$6&gt;=$BH10,AO$6&lt;=$BI10),"遅","")))))</f>
        <v/>
      </c>
      <c r="AP10" s="93" t="str">
        <f>IF($BB10="","",IF(AP$6=$BJ10,"◆",IF(AND(AP$6&gt;=$BF10,AP$6&lt;=$BG10),IF(AND(AP$6&gt;=$BD10,AP$6&lt;=$BE10),"実","外"),IF(AND(AP$6&gt;=$BD10,AP$6&lt;=$BE10),"計",IF(AND(AP$6&gt;=$BH10,AP$6&lt;=$BI10),"遅","")))))</f>
        <v/>
      </c>
      <c r="AQ10" s="93" t="str">
        <f>IF($BB10="","",IF(AQ$6=$BJ10,"◆",IF(AND(AQ$6&gt;=$BF10,AQ$6&lt;=$BG10),IF(AND(AQ$6&gt;=$BD10,AQ$6&lt;=$BE10),"実","外"),IF(AND(AQ$6&gt;=$BD10,AQ$6&lt;=$BE10),"計",IF(AND(AQ$6&gt;=$BH10,AQ$6&lt;=$BI10),"遅","")))))</f>
        <v/>
      </c>
      <c r="AR10" s="93" t="str">
        <f>IF($BB10="","",IF(AR$6=$BJ10,"◆",IF(AND(AR$6&gt;=$BF10,AR$6&lt;=$BG10),IF(AND(AR$6&gt;=$BD10,AR$6&lt;=$BE10),"実","外"),IF(AND(AR$6&gt;=$BD10,AR$6&lt;=$BE10),"計",IF(AND(AR$6&gt;=$BH10,AR$6&lt;=$BI10),"遅","")))))</f>
        <v/>
      </c>
      <c r="AS10" s="93" t="str">
        <f>IF($BB10="","",IF(AS$6=$BJ10,"◆",IF(AND(AS$6&gt;=$BF10,AS$6&lt;=$BG10),IF(AND(AS$6&gt;=$BD10,AS$6&lt;=$BE10),"実","外"),IF(AND(AS$6&gt;=$BD10,AS$6&lt;=$BE10),"計",IF(AND(AS$6&gt;=$BH10,AS$6&lt;=$BI10),"遅","")))))</f>
        <v/>
      </c>
      <c r="AT10" s="93" t="str">
        <f>IF($BB10="","",IF(AT$6=$BJ10,"◆",IF(AND(AT$6&gt;=$BF10,AT$6&lt;=$BG10),IF(AND(AT$6&gt;=$BD10,AT$6&lt;=$BE10),"実","外"),IF(AND(AT$6&gt;=$BD10,AT$6&lt;=$BE10),"計",IF(AND(AT$6&gt;=$BH10,AT$6&lt;=$BI10),"遅","")))))</f>
        <v/>
      </c>
      <c r="AU10" s="93" t="str">
        <f>IF($BB10="","",IF(AU$6=$BJ10,"◆",IF(AND(AU$6&gt;=$BF10,AU$6&lt;=$BG10),IF(AND(AU$6&gt;=$BD10,AU$6&lt;=$BE10),"実","外"),IF(AND(AU$6&gt;=$BD10,AU$6&lt;=$BE10),"計",IF(AND(AU$6&gt;=$BH10,AU$6&lt;=$BI10),"遅","")))))</f>
        <v/>
      </c>
      <c r="AV10" s="93" t="str">
        <f>IF($BB10="","",IF(AV$6=$BJ10,"◆",IF(AND(AV$6&gt;=$BF10,AV$6&lt;=$BG10),IF(AND(AV$6&gt;=$BD10,AV$6&lt;=$BE10),"実","外"),IF(AND(AV$6&gt;=$BD10,AV$6&lt;=$BE10),"計",IF(AND(AV$6&gt;=$BH10,AV$6&lt;=$BI10),"遅","")))))</f>
        <v/>
      </c>
      <c r="AW10" s="93" t="str">
        <f>IF($BB10="","",IF(AW$6=$BJ10,"◆",IF(AND(AW$6&gt;=$BF10,AW$6&lt;=$BG10),IF(AND(AW$6&gt;=$BD10,AW$6&lt;=$BE10),"実","外"),IF(AND(AW$6&gt;=$BD10,AW$6&lt;=$BE10),"計",IF(AND(AW$6&gt;=$BH10,AW$6&lt;=$BI10),"遅","")))))</f>
        <v/>
      </c>
      <c r="AX10" s="93" t="str">
        <f>IF($BB10="","",IF(AX$6=$BJ10,"◆",IF(AND(AX$6&gt;=$BF10,AX$6&lt;=$BG10),IF(AND(AX$6&gt;=$BD10,AX$6&lt;=$BE10),"実","外"),IF(AND(AX$6&gt;=$BD10,AX$6&lt;=$BE10),"計",IF(AND(AX$6&gt;=$BH10,AX$6&lt;=$BI10),"遅","")))))</f>
        <v/>
      </c>
      <c r="AY10" s="93" t="str">
        <f>IF($BB10="","",IF(AY$6=$BJ10,"◆",IF(AND(AY$6&gt;=$BF10,AY$6&lt;=$BG10),IF(AND(AY$6&gt;=$BD10,AY$6&lt;=$BE10),"実","外"),IF(AND(AY$6&gt;=$BD10,AY$6&lt;=$BE10),"計",IF(AND(AY$6&gt;=$BH10,AY$6&lt;=$BI10),"遅","")))))</f>
        <v/>
      </c>
      <c r="AZ10" s="93" t="str">
        <f>IF($BB10="","",IF(AZ$6=$BJ10,"◆",IF(AND(AZ$6&gt;=$BF10,AZ$6&lt;=$BG10),IF(AND(AZ$6&gt;=$BD10,AZ$6&lt;=$BE10),"実","外"),IF(AND(AZ$6&gt;=$BD10,AZ$6&lt;=$BE10),"計",IF(AND(AZ$6&gt;=$BH10,AZ$6&lt;=$BI10),"遅","")))))</f>
        <v/>
      </c>
      <c r="BB10">
        <f>IF(3&gt;COUNTIF(tblSteps[日別対象],1),"",IFERROR(MATCH(3,tblSteps[日別順位],0),""))</f>
        <v>29</v>
      </c>
      <c r="BC10" t="str">
        <f>IF($BB10="","",INDEX(tblSteps[案件ID],$BB10)&amp;"")</f>
        <v>A0023</v>
      </c>
      <c r="BD10">
        <f>IF($BB10="","",INDEX(tblSteps[計開],$BB10))</f>
        <v>46302</v>
      </c>
      <c r="BE10">
        <f>IF($BB10="","",INDEX(tblSteps[計終],$BB10))</f>
        <v>46302</v>
      </c>
      <c r="BF10">
        <f>IF($BB10="","",INDEX(tblSteps[実開],$BB10))</f>
        <v>1</v>
      </c>
      <c r="BG10">
        <f>IF($BB10="","",INDEX(tblSteps[実終],$BB10))</f>
        <v>0</v>
      </c>
      <c r="BH10">
        <f>IF($BB10="","",INDEX(tblSteps[遅開],$BB10))</f>
        <v>46303</v>
      </c>
      <c r="BI10">
        <f>IF($BB10="","",INDEX(tblSteps[遅終],$BB10))</f>
        <v>0</v>
      </c>
      <c r="BJ10">
        <f>IF($BB10="","",INDEX(tblSteps[納期値],$BB10))</f>
        <v>46297</v>
      </c>
    </row>
    <row r="11" ht="18" customHeight="1">
      <c r="A11" s="89" t="str">
        <f>IF($BB11="","",INDEX(tblSteps[工程ID],$BB11)&amp;"")</f>
        <v>S0007</v>
      </c>
      <c r="B11" s="88" t="str">
        <f>IF($BB11="","",IF($BC11=$BC10,"",$BC11&amp;" "&amp;INDEX(tblSteps[案件名],$BB11)))</f>
        <v>A0020 スポット修理（搬送装置）</v>
      </c>
      <c r="C11" s="88" t="str">
        <f>IF($BB11="","",INDEX(tblSteps[工程名],$BB11)&amp;"")</f>
        <v>部品手配</v>
      </c>
      <c r="D11" s="89" t="str">
        <f>IF($BB11="","",INDEX(tblSteps[担当],$BB11)&amp;"")</f>
        <v>渡辺</v>
      </c>
      <c r="E11" s="89" t="str">
        <f>IF($BB11="","",INDEX(tblSteps[状態],$BB11)&amp;"")</f>
        <v>完了</v>
      </c>
      <c r="F11" s="90">
        <f>IF($BB11="","",IF(ISNUMBER(INDEX(tblSteps[進捗率],$BB11)),INDEX(tblSteps[進捗率],$BB11),""))</f>
        <v>1</v>
      </c>
      <c r="G11" s="91">
        <f>IF($BB11="","",IF(ISNUMBER(INDEX(tblSteps[計画開始日],$BB11)),INDEX(tblSteps[計画開始日],$BB11),"未入力"))</f>
        <v>46295.0</v>
      </c>
      <c r="H11" s="91">
        <f>IF($BB11="","",IF(ISNUMBER(INDEX(tblSteps[計画終了日],$BB11)),INDEX(tblSteps[計画終了日],$BB11),"未入力"))</f>
        <v>46297.0</v>
      </c>
      <c r="I11" s="91" t="str">
        <f>IF($BB11="","",IF(ISNUMBER(INDEX(tblSteps[完了見込日],$BB11)),INDEX(tblSteps[完了見込日],$BB11),""))</f>
        <v/>
      </c>
      <c r="J11" s="92" t="str">
        <f>IF($BB11="","",INDEX(tblSteps[注意短],$BB11)&amp;"")</f>
        <v>完了</v>
      </c>
      <c r="K11" s="93" t="str">
        <f>IF($BB11="","",IF(K$6=$BJ11,"◆",IF(AND(K$6&gt;=$BF11,K$6&lt;=$BG11),IF(AND(K$6&gt;=$BD11,K$6&lt;=$BE11),"実","外"),IF(AND(K$6&gt;=$BD11,K$6&lt;=$BE11),"計",IF(AND(K$6&gt;=$BH11,K$6&lt;=$BI11),"遅","")))))</f>
        <v/>
      </c>
      <c r="L11" s="93" t="str">
        <f>IF($BB11="","",IF(L$6=$BJ11,"◆",IF(AND(L$6&gt;=$BF11,L$6&lt;=$BG11),IF(AND(L$6&gt;=$BD11,L$6&lt;=$BE11),"実","外"),IF(AND(L$6&gt;=$BD11,L$6&lt;=$BE11),"計",IF(AND(L$6&gt;=$BH11,L$6&lt;=$BI11),"遅","")))))</f>
        <v/>
      </c>
      <c r="M11" s="93" t="str">
        <f>IF($BB11="","",IF(M$6=$BJ11,"◆",IF(AND(M$6&gt;=$BF11,M$6&lt;=$BG11),IF(AND(M$6&gt;=$BD11,M$6&lt;=$BE11),"実","外"),IF(AND(M$6&gt;=$BD11,M$6&lt;=$BE11),"計",IF(AND(M$6&gt;=$BH11,M$6&lt;=$BI11),"遅","")))))</f>
        <v>実</v>
      </c>
      <c r="N11" s="93" t="str">
        <f>IF($BB11="","",IF(N$6=$BJ11,"◆",IF(AND(N$6&gt;=$BF11,N$6&lt;=$BG11),IF(AND(N$6&gt;=$BD11,N$6&lt;=$BE11),"実","外"),IF(AND(N$6&gt;=$BD11,N$6&lt;=$BE11),"計",IF(AND(N$6&gt;=$BH11,N$6&lt;=$BI11),"遅","")))))</f>
        <v>実</v>
      </c>
      <c r="O11" s="93" t="str">
        <f>IF($BB11="","",IF(O$6=$BJ11,"◆",IF(AND(O$6&gt;=$BF11,O$6&lt;=$BG11),IF(AND(O$6&gt;=$BD11,O$6&lt;=$BE11),"実","外"),IF(AND(O$6&gt;=$BD11,O$6&lt;=$BE11),"計",IF(AND(O$6&gt;=$BH11,O$6&lt;=$BI11),"遅","")))))</f>
        <v>実</v>
      </c>
      <c r="P11" s="93" t="str">
        <f>IF($BB11="","",IF(P$6=$BJ11,"◆",IF(AND(P$6&gt;=$BF11,P$6&lt;=$BG11),IF(AND(P$6&gt;=$BD11,P$6&lt;=$BE11),"実","外"),IF(AND(P$6&gt;=$BD11,P$6&lt;=$BE11),"計",IF(AND(P$6&gt;=$BH11,P$6&lt;=$BI11),"遅","")))))</f>
        <v/>
      </c>
      <c r="Q11" s="93" t="str">
        <f>IF($BB11="","",IF(Q$6=$BJ11,"◆",IF(AND(Q$6&gt;=$BF11,Q$6&lt;=$BG11),IF(AND(Q$6&gt;=$BD11,Q$6&lt;=$BE11),"実","外"),IF(AND(Q$6&gt;=$BD11,Q$6&lt;=$BE11),"計",IF(AND(Q$6&gt;=$BH11,Q$6&lt;=$BI11),"遅","")))))</f>
        <v/>
      </c>
      <c r="R11" s="93" t="str">
        <f>IF($BB11="","",IF(R$6=$BJ11,"◆",IF(AND(R$6&gt;=$BF11,R$6&lt;=$BG11),IF(AND(R$6&gt;=$BD11,R$6&lt;=$BE11),"実","外"),IF(AND(R$6&gt;=$BD11,R$6&lt;=$BE11),"計",IF(AND(R$6&gt;=$BH11,R$6&lt;=$BI11),"遅","")))))</f>
        <v/>
      </c>
      <c r="S11" s="93" t="str">
        <f>IF($BB11="","",IF(S$6=$BJ11,"◆",IF(AND(S$6&gt;=$BF11,S$6&lt;=$BG11),IF(AND(S$6&gt;=$BD11,S$6&lt;=$BE11),"実","外"),IF(AND(S$6&gt;=$BD11,S$6&lt;=$BE11),"計",IF(AND(S$6&gt;=$BH11,S$6&lt;=$BI11),"遅","")))))</f>
        <v/>
      </c>
      <c r="T11" s="93" t="str">
        <f>IF($BB11="","",IF(T$6=$BJ11,"◆",IF(AND(T$6&gt;=$BF11,T$6&lt;=$BG11),IF(AND(T$6&gt;=$BD11,T$6&lt;=$BE11),"実","外"),IF(AND(T$6&gt;=$BD11,T$6&lt;=$BE11),"計",IF(AND(T$6&gt;=$BH11,T$6&lt;=$BI11),"遅","")))))</f>
        <v/>
      </c>
      <c r="U11" s="93" t="str">
        <f>IF($BB11="","",IF(U$6=$BJ11,"◆",IF(AND(U$6&gt;=$BF11,U$6&lt;=$BG11),IF(AND(U$6&gt;=$BD11,U$6&lt;=$BE11),"実","外"),IF(AND(U$6&gt;=$BD11,U$6&lt;=$BE11),"計",IF(AND(U$6&gt;=$BH11,U$6&lt;=$BI11),"遅","")))))</f>
        <v/>
      </c>
      <c r="V11" s="93" t="str">
        <f>IF($BB11="","",IF(V$6=$BJ11,"◆",IF(AND(V$6&gt;=$BF11,V$6&lt;=$BG11),IF(AND(V$6&gt;=$BD11,V$6&lt;=$BE11),"実","外"),IF(AND(V$6&gt;=$BD11,V$6&lt;=$BE11),"計",IF(AND(V$6&gt;=$BH11,V$6&lt;=$BI11),"遅","")))))</f>
        <v>◆</v>
      </c>
      <c r="W11" s="93" t="str">
        <f>IF($BB11="","",IF(W$6=$BJ11,"◆",IF(AND(W$6&gt;=$BF11,W$6&lt;=$BG11),IF(AND(W$6&gt;=$BD11,W$6&lt;=$BE11),"実","外"),IF(AND(W$6&gt;=$BD11,W$6&lt;=$BE11),"計",IF(AND(W$6&gt;=$BH11,W$6&lt;=$BI11),"遅","")))))</f>
        <v/>
      </c>
      <c r="X11" s="93" t="str">
        <f>IF($BB11="","",IF(X$6=$BJ11,"◆",IF(AND(X$6&gt;=$BF11,X$6&lt;=$BG11),IF(AND(X$6&gt;=$BD11,X$6&lt;=$BE11),"実","外"),IF(AND(X$6&gt;=$BD11,X$6&lt;=$BE11),"計",IF(AND(X$6&gt;=$BH11,X$6&lt;=$BI11),"遅","")))))</f>
        <v/>
      </c>
      <c r="Y11" s="93" t="str">
        <f>IF($BB11="","",IF(Y$6=$BJ11,"◆",IF(AND(Y$6&gt;=$BF11,Y$6&lt;=$BG11),IF(AND(Y$6&gt;=$BD11,Y$6&lt;=$BE11),"実","外"),IF(AND(Y$6&gt;=$BD11,Y$6&lt;=$BE11),"計",IF(AND(Y$6&gt;=$BH11,Y$6&lt;=$BI11),"遅","")))))</f>
        <v/>
      </c>
      <c r="Z11" s="93" t="str">
        <f>IF($BB11="","",IF(Z$6=$BJ11,"◆",IF(AND(Z$6&gt;=$BF11,Z$6&lt;=$BG11),IF(AND(Z$6&gt;=$BD11,Z$6&lt;=$BE11),"実","外"),IF(AND(Z$6&gt;=$BD11,Z$6&lt;=$BE11),"計",IF(AND(Z$6&gt;=$BH11,Z$6&lt;=$BI11),"遅","")))))</f>
        <v/>
      </c>
      <c r="AA11" s="93" t="str">
        <f>IF($BB11="","",IF(AA$6=$BJ11,"◆",IF(AND(AA$6&gt;=$BF11,AA$6&lt;=$BG11),IF(AND(AA$6&gt;=$BD11,AA$6&lt;=$BE11),"実","外"),IF(AND(AA$6&gt;=$BD11,AA$6&lt;=$BE11),"計",IF(AND(AA$6&gt;=$BH11,AA$6&lt;=$BI11),"遅","")))))</f>
        <v/>
      </c>
      <c r="AB11" s="93" t="str">
        <f>IF($BB11="","",IF(AB$6=$BJ11,"◆",IF(AND(AB$6&gt;=$BF11,AB$6&lt;=$BG11),IF(AND(AB$6&gt;=$BD11,AB$6&lt;=$BE11),"実","外"),IF(AND(AB$6&gt;=$BD11,AB$6&lt;=$BE11),"計",IF(AND(AB$6&gt;=$BH11,AB$6&lt;=$BI11),"遅","")))))</f>
        <v/>
      </c>
      <c r="AC11" s="93" t="str">
        <f>IF($BB11="","",IF(AC$6=$BJ11,"◆",IF(AND(AC$6&gt;=$BF11,AC$6&lt;=$BG11),IF(AND(AC$6&gt;=$BD11,AC$6&lt;=$BE11),"実","外"),IF(AND(AC$6&gt;=$BD11,AC$6&lt;=$BE11),"計",IF(AND(AC$6&gt;=$BH11,AC$6&lt;=$BI11),"遅","")))))</f>
        <v/>
      </c>
      <c r="AD11" s="93" t="str">
        <f>IF($BB11="","",IF(AD$6=$BJ11,"◆",IF(AND(AD$6&gt;=$BF11,AD$6&lt;=$BG11),IF(AND(AD$6&gt;=$BD11,AD$6&lt;=$BE11),"実","外"),IF(AND(AD$6&gt;=$BD11,AD$6&lt;=$BE11),"計",IF(AND(AD$6&gt;=$BH11,AD$6&lt;=$BI11),"遅","")))))</f>
        <v/>
      </c>
      <c r="AE11" s="93" t="str">
        <f>IF($BB11="","",IF(AE$6=$BJ11,"◆",IF(AND(AE$6&gt;=$BF11,AE$6&lt;=$BG11),IF(AND(AE$6&gt;=$BD11,AE$6&lt;=$BE11),"実","外"),IF(AND(AE$6&gt;=$BD11,AE$6&lt;=$BE11),"計",IF(AND(AE$6&gt;=$BH11,AE$6&lt;=$BI11),"遅","")))))</f>
        <v/>
      </c>
      <c r="AF11" s="93" t="str">
        <f>IF($BB11="","",IF(AF$6=$BJ11,"◆",IF(AND(AF$6&gt;=$BF11,AF$6&lt;=$BG11),IF(AND(AF$6&gt;=$BD11,AF$6&lt;=$BE11),"実","外"),IF(AND(AF$6&gt;=$BD11,AF$6&lt;=$BE11),"計",IF(AND(AF$6&gt;=$BH11,AF$6&lt;=$BI11),"遅","")))))</f>
        <v/>
      </c>
      <c r="AG11" s="93" t="str">
        <f>IF($BB11="","",IF(AG$6=$BJ11,"◆",IF(AND(AG$6&gt;=$BF11,AG$6&lt;=$BG11),IF(AND(AG$6&gt;=$BD11,AG$6&lt;=$BE11),"実","外"),IF(AND(AG$6&gt;=$BD11,AG$6&lt;=$BE11),"計",IF(AND(AG$6&gt;=$BH11,AG$6&lt;=$BI11),"遅","")))))</f>
        <v/>
      </c>
      <c r="AH11" s="93" t="str">
        <f>IF($BB11="","",IF(AH$6=$BJ11,"◆",IF(AND(AH$6&gt;=$BF11,AH$6&lt;=$BG11),IF(AND(AH$6&gt;=$BD11,AH$6&lt;=$BE11),"実","外"),IF(AND(AH$6&gt;=$BD11,AH$6&lt;=$BE11),"計",IF(AND(AH$6&gt;=$BH11,AH$6&lt;=$BI11),"遅","")))))</f>
        <v/>
      </c>
      <c r="AI11" s="93" t="str">
        <f>IF($BB11="","",IF(AI$6=$BJ11,"◆",IF(AND(AI$6&gt;=$BF11,AI$6&lt;=$BG11),IF(AND(AI$6&gt;=$BD11,AI$6&lt;=$BE11),"実","外"),IF(AND(AI$6&gt;=$BD11,AI$6&lt;=$BE11),"計",IF(AND(AI$6&gt;=$BH11,AI$6&lt;=$BI11),"遅","")))))</f>
        <v/>
      </c>
      <c r="AJ11" s="93" t="str">
        <f>IF($BB11="","",IF(AJ$6=$BJ11,"◆",IF(AND(AJ$6&gt;=$BF11,AJ$6&lt;=$BG11),IF(AND(AJ$6&gt;=$BD11,AJ$6&lt;=$BE11),"実","外"),IF(AND(AJ$6&gt;=$BD11,AJ$6&lt;=$BE11),"計",IF(AND(AJ$6&gt;=$BH11,AJ$6&lt;=$BI11),"遅","")))))</f>
        <v/>
      </c>
      <c r="AK11" s="93" t="str">
        <f>IF($BB11="","",IF(AK$6=$BJ11,"◆",IF(AND(AK$6&gt;=$BF11,AK$6&lt;=$BG11),IF(AND(AK$6&gt;=$BD11,AK$6&lt;=$BE11),"実","外"),IF(AND(AK$6&gt;=$BD11,AK$6&lt;=$BE11),"計",IF(AND(AK$6&gt;=$BH11,AK$6&lt;=$BI11),"遅","")))))</f>
        <v/>
      </c>
      <c r="AL11" s="93" t="str">
        <f>IF($BB11="","",IF(AL$6=$BJ11,"◆",IF(AND(AL$6&gt;=$BF11,AL$6&lt;=$BG11),IF(AND(AL$6&gt;=$BD11,AL$6&lt;=$BE11),"実","外"),IF(AND(AL$6&gt;=$BD11,AL$6&lt;=$BE11),"計",IF(AND(AL$6&gt;=$BH11,AL$6&lt;=$BI11),"遅","")))))</f>
        <v/>
      </c>
      <c r="AM11" s="93" t="str">
        <f>IF($BB11="","",IF(AM$6=$BJ11,"◆",IF(AND(AM$6&gt;=$BF11,AM$6&lt;=$BG11),IF(AND(AM$6&gt;=$BD11,AM$6&lt;=$BE11),"実","外"),IF(AND(AM$6&gt;=$BD11,AM$6&lt;=$BE11),"計",IF(AND(AM$6&gt;=$BH11,AM$6&lt;=$BI11),"遅","")))))</f>
        <v/>
      </c>
      <c r="AN11" s="93" t="str">
        <f>IF($BB11="","",IF(AN$6=$BJ11,"◆",IF(AND(AN$6&gt;=$BF11,AN$6&lt;=$BG11),IF(AND(AN$6&gt;=$BD11,AN$6&lt;=$BE11),"実","外"),IF(AND(AN$6&gt;=$BD11,AN$6&lt;=$BE11),"計",IF(AND(AN$6&gt;=$BH11,AN$6&lt;=$BI11),"遅","")))))</f>
        <v/>
      </c>
      <c r="AO11" s="93" t="str">
        <f>IF($BB11="","",IF(AO$6=$BJ11,"◆",IF(AND(AO$6&gt;=$BF11,AO$6&lt;=$BG11),IF(AND(AO$6&gt;=$BD11,AO$6&lt;=$BE11),"実","外"),IF(AND(AO$6&gt;=$BD11,AO$6&lt;=$BE11),"計",IF(AND(AO$6&gt;=$BH11,AO$6&lt;=$BI11),"遅","")))))</f>
        <v/>
      </c>
      <c r="AP11" s="93" t="str">
        <f>IF($BB11="","",IF(AP$6=$BJ11,"◆",IF(AND(AP$6&gt;=$BF11,AP$6&lt;=$BG11),IF(AND(AP$6&gt;=$BD11,AP$6&lt;=$BE11),"実","外"),IF(AND(AP$6&gt;=$BD11,AP$6&lt;=$BE11),"計",IF(AND(AP$6&gt;=$BH11,AP$6&lt;=$BI11),"遅","")))))</f>
        <v/>
      </c>
      <c r="AQ11" s="93" t="str">
        <f>IF($BB11="","",IF(AQ$6=$BJ11,"◆",IF(AND(AQ$6&gt;=$BF11,AQ$6&lt;=$BG11),IF(AND(AQ$6&gt;=$BD11,AQ$6&lt;=$BE11),"実","外"),IF(AND(AQ$6&gt;=$BD11,AQ$6&lt;=$BE11),"計",IF(AND(AQ$6&gt;=$BH11,AQ$6&lt;=$BI11),"遅","")))))</f>
        <v/>
      </c>
      <c r="AR11" s="93" t="str">
        <f>IF($BB11="","",IF(AR$6=$BJ11,"◆",IF(AND(AR$6&gt;=$BF11,AR$6&lt;=$BG11),IF(AND(AR$6&gt;=$BD11,AR$6&lt;=$BE11),"実","外"),IF(AND(AR$6&gt;=$BD11,AR$6&lt;=$BE11),"計",IF(AND(AR$6&gt;=$BH11,AR$6&lt;=$BI11),"遅","")))))</f>
        <v/>
      </c>
      <c r="AS11" s="93" t="str">
        <f>IF($BB11="","",IF(AS$6=$BJ11,"◆",IF(AND(AS$6&gt;=$BF11,AS$6&lt;=$BG11),IF(AND(AS$6&gt;=$BD11,AS$6&lt;=$BE11),"実","外"),IF(AND(AS$6&gt;=$BD11,AS$6&lt;=$BE11),"計",IF(AND(AS$6&gt;=$BH11,AS$6&lt;=$BI11),"遅","")))))</f>
        <v/>
      </c>
      <c r="AT11" s="93" t="str">
        <f>IF($BB11="","",IF(AT$6=$BJ11,"◆",IF(AND(AT$6&gt;=$BF11,AT$6&lt;=$BG11),IF(AND(AT$6&gt;=$BD11,AT$6&lt;=$BE11),"実","外"),IF(AND(AT$6&gt;=$BD11,AT$6&lt;=$BE11),"計",IF(AND(AT$6&gt;=$BH11,AT$6&lt;=$BI11),"遅","")))))</f>
        <v/>
      </c>
      <c r="AU11" s="93" t="str">
        <f>IF($BB11="","",IF(AU$6=$BJ11,"◆",IF(AND(AU$6&gt;=$BF11,AU$6&lt;=$BG11),IF(AND(AU$6&gt;=$BD11,AU$6&lt;=$BE11),"実","外"),IF(AND(AU$6&gt;=$BD11,AU$6&lt;=$BE11),"計",IF(AND(AU$6&gt;=$BH11,AU$6&lt;=$BI11),"遅","")))))</f>
        <v/>
      </c>
      <c r="AV11" s="93" t="str">
        <f>IF($BB11="","",IF(AV$6=$BJ11,"◆",IF(AND(AV$6&gt;=$BF11,AV$6&lt;=$BG11),IF(AND(AV$6&gt;=$BD11,AV$6&lt;=$BE11),"実","外"),IF(AND(AV$6&gt;=$BD11,AV$6&lt;=$BE11),"計",IF(AND(AV$6&gt;=$BH11,AV$6&lt;=$BI11),"遅","")))))</f>
        <v/>
      </c>
      <c r="AW11" s="93" t="str">
        <f>IF($BB11="","",IF(AW$6=$BJ11,"◆",IF(AND(AW$6&gt;=$BF11,AW$6&lt;=$BG11),IF(AND(AW$6&gt;=$BD11,AW$6&lt;=$BE11),"実","外"),IF(AND(AW$6&gt;=$BD11,AW$6&lt;=$BE11),"計",IF(AND(AW$6&gt;=$BH11,AW$6&lt;=$BI11),"遅","")))))</f>
        <v/>
      </c>
      <c r="AX11" s="93" t="str">
        <f>IF($BB11="","",IF(AX$6=$BJ11,"◆",IF(AND(AX$6&gt;=$BF11,AX$6&lt;=$BG11),IF(AND(AX$6&gt;=$BD11,AX$6&lt;=$BE11),"実","外"),IF(AND(AX$6&gt;=$BD11,AX$6&lt;=$BE11),"計",IF(AND(AX$6&gt;=$BH11,AX$6&lt;=$BI11),"遅","")))))</f>
        <v/>
      </c>
      <c r="AY11" s="93" t="str">
        <f>IF($BB11="","",IF(AY$6=$BJ11,"◆",IF(AND(AY$6&gt;=$BF11,AY$6&lt;=$BG11),IF(AND(AY$6&gt;=$BD11,AY$6&lt;=$BE11),"実","外"),IF(AND(AY$6&gt;=$BD11,AY$6&lt;=$BE11),"計",IF(AND(AY$6&gt;=$BH11,AY$6&lt;=$BI11),"遅","")))))</f>
        <v/>
      </c>
      <c r="AZ11" s="93" t="str">
        <f>IF($BB11="","",IF(AZ$6=$BJ11,"◆",IF(AND(AZ$6&gt;=$BF11,AZ$6&lt;=$BG11),IF(AND(AZ$6&gt;=$BD11,AZ$6&lt;=$BE11),"実","外"),IF(AND(AZ$6&gt;=$BD11,AZ$6&lt;=$BE11),"計",IF(AND(AZ$6&gt;=$BH11,AZ$6&lt;=$BI11),"遅","")))))</f>
        <v/>
      </c>
      <c r="BB11">
        <f>IF(4&gt;COUNTIF(tblSteps[日別対象],1),"",IFERROR(MATCH(4,tblSteps[日別順位],0),""))</f>
        <v>7</v>
      </c>
      <c r="BC11" t="str">
        <f>IF($BB11="","",INDEX(tblSteps[案件ID],$BB11)&amp;"")</f>
        <v>A0020</v>
      </c>
      <c r="BD11">
        <f>IF($BB11="","",INDEX(tblSteps[計開],$BB11))</f>
        <v>46295</v>
      </c>
      <c r="BE11">
        <f>IF($BB11="","",INDEX(tblSteps[計終],$BB11))</f>
        <v>46297</v>
      </c>
      <c r="BF11">
        <f>IF($BB11="","",INDEX(tblSteps[実開],$BB11))</f>
        <v>46295</v>
      </c>
      <c r="BG11">
        <f>IF($BB11="","",INDEX(tblSteps[実終],$BB11))</f>
        <v>46297</v>
      </c>
      <c r="BH11">
        <f>IF($BB11="","",INDEX(tblSteps[遅開],$BB11))</f>
        <v>1</v>
      </c>
      <c r="BI11">
        <f>IF($BB11="","",INDEX(tblSteps[遅終],$BB11))</f>
        <v>0</v>
      </c>
      <c r="BJ11">
        <f>IF($BB11="","",INDEX(tblSteps[納期値],$BB11))</f>
        <v>46304</v>
      </c>
    </row>
    <row r="12" ht="18" customHeight="1">
      <c r="A12" s="89" t="str">
        <f>IF($BB12="","",INDEX(tblSteps[工程ID],$BB12)&amp;"")</f>
        <v>S0008</v>
      </c>
      <c r="B12" s="88" t="str">
        <f>IF($BB12="","",IF($BC12=$BC11,"",$BC12&amp;" "&amp;INDEX(tblSteps[案件名],$BB12)))</f>
        <v/>
      </c>
      <c r="C12" s="88" t="str">
        <f>IF($BB12="","",INDEX(tblSteps[工程名],$BB12)&amp;"")</f>
        <v>修理作業</v>
      </c>
      <c r="D12" s="89" t="str">
        <f>IF($BB12="","",INDEX(tblSteps[担当],$BB12)&amp;"")</f>
        <v>伊藤</v>
      </c>
      <c r="E12" s="89" t="str">
        <f>IF($BB12="","",INDEX(tblSteps[状態],$BB12)&amp;"")</f>
        <v>進行中</v>
      </c>
      <c r="F12" s="90">
        <f>IF($BB12="","",IF(ISNUMBER(INDEX(tblSteps[進捗率],$BB12)),INDEX(tblSteps[進捗率],$BB12),""))</f>
        <v>0.3</v>
      </c>
      <c r="G12" s="91">
        <f>IF($BB12="","",IF(ISNUMBER(INDEX(tblSteps[計画開始日],$BB12)),INDEX(tblSteps[計画開始日],$BB12),"未入力"))</f>
        <v>46300.0</v>
      </c>
      <c r="H12" s="91">
        <f>IF($BB12="","",IF(ISNUMBER(INDEX(tblSteps[計画終了日],$BB12)),INDEX(tblSteps[計画終了日],$BB12),"未入力"))</f>
        <v>46300.0</v>
      </c>
      <c r="I12" s="91" t="str">
        <f>IF($BB12="","",IF(ISNUMBER(INDEX(tblSteps[完了見込日],$BB12)),INDEX(tblSteps[完了見込日],$BB12),""))</f>
        <v/>
      </c>
      <c r="J12" s="92" t="str">
        <f>IF($BB12="","",INDEX(tblSteps[注意短],$BB12)&amp;"")</f>
        <v>重複の可能性</v>
      </c>
      <c r="K12" s="93" t="str">
        <f>IF($BB12="","",IF(K$6=$BJ12,"◆",IF(AND(K$6&gt;=$BF12,K$6&lt;=$BG12),IF(AND(K$6&gt;=$BD12,K$6&lt;=$BE12),"実","外"),IF(AND(K$6&gt;=$BD12,K$6&lt;=$BE12),"計",IF(AND(K$6&gt;=$BH12,K$6&lt;=$BI12),"遅","")))))</f>
        <v/>
      </c>
      <c r="L12" s="93" t="str">
        <f>IF($BB12="","",IF(L$6=$BJ12,"◆",IF(AND(L$6&gt;=$BF12,L$6&lt;=$BG12),IF(AND(L$6&gt;=$BD12,L$6&lt;=$BE12),"実","外"),IF(AND(L$6&gt;=$BD12,L$6&lt;=$BE12),"計",IF(AND(L$6&gt;=$BH12,L$6&lt;=$BI12),"遅","")))))</f>
        <v/>
      </c>
      <c r="M12" s="93" t="str">
        <f>IF($BB12="","",IF(M$6=$BJ12,"◆",IF(AND(M$6&gt;=$BF12,M$6&lt;=$BG12),IF(AND(M$6&gt;=$BD12,M$6&lt;=$BE12),"実","外"),IF(AND(M$6&gt;=$BD12,M$6&lt;=$BE12),"計",IF(AND(M$6&gt;=$BH12,M$6&lt;=$BI12),"遅","")))))</f>
        <v/>
      </c>
      <c r="N12" s="93" t="str">
        <f>IF($BB12="","",IF(N$6=$BJ12,"◆",IF(AND(N$6&gt;=$BF12,N$6&lt;=$BG12),IF(AND(N$6&gt;=$BD12,N$6&lt;=$BE12),"実","外"),IF(AND(N$6&gt;=$BD12,N$6&lt;=$BE12),"計",IF(AND(N$6&gt;=$BH12,N$6&lt;=$BI12),"遅","")))))</f>
        <v/>
      </c>
      <c r="O12" s="93" t="str">
        <f>IF($BB12="","",IF(O$6=$BJ12,"◆",IF(AND(O$6&gt;=$BF12,O$6&lt;=$BG12),IF(AND(O$6&gt;=$BD12,O$6&lt;=$BE12),"実","外"),IF(AND(O$6&gt;=$BD12,O$6&lt;=$BE12),"計",IF(AND(O$6&gt;=$BH12,O$6&lt;=$BI12),"遅","")))))</f>
        <v/>
      </c>
      <c r="P12" s="93" t="str">
        <f>IF($BB12="","",IF(P$6=$BJ12,"◆",IF(AND(P$6&gt;=$BF12,P$6&lt;=$BG12),IF(AND(P$6&gt;=$BD12,P$6&lt;=$BE12),"実","外"),IF(AND(P$6&gt;=$BD12,P$6&lt;=$BE12),"計",IF(AND(P$6&gt;=$BH12,P$6&lt;=$BI12),"遅","")))))</f>
        <v/>
      </c>
      <c r="Q12" s="93" t="str">
        <f>IF($BB12="","",IF(Q$6=$BJ12,"◆",IF(AND(Q$6&gt;=$BF12,Q$6&lt;=$BG12),IF(AND(Q$6&gt;=$BD12,Q$6&lt;=$BE12),"実","外"),IF(AND(Q$6&gt;=$BD12,Q$6&lt;=$BE12),"計",IF(AND(Q$6&gt;=$BH12,Q$6&lt;=$BI12),"遅","")))))</f>
        <v/>
      </c>
      <c r="R12" s="93" t="str">
        <f>IF($BB12="","",IF(R$6=$BJ12,"◆",IF(AND(R$6&gt;=$BF12,R$6&lt;=$BG12),IF(AND(R$6&gt;=$BD12,R$6&lt;=$BE12),"実","外"),IF(AND(R$6&gt;=$BD12,R$6&lt;=$BE12),"計",IF(AND(R$6&gt;=$BH12,R$6&lt;=$BI12),"遅","")))))</f>
        <v>実</v>
      </c>
      <c r="S12" s="93" t="str">
        <f>IF($BB12="","",IF(S$6=$BJ12,"◆",IF(AND(S$6&gt;=$BF12,S$6&lt;=$BG12),IF(AND(S$6&gt;=$BD12,S$6&lt;=$BE12),"実","外"),IF(AND(S$6&gt;=$BD12,S$6&lt;=$BE12),"計",IF(AND(S$6&gt;=$BH12,S$6&lt;=$BI12),"遅","")))))</f>
        <v/>
      </c>
      <c r="T12" s="93" t="str">
        <f>IF($BB12="","",IF(T$6=$BJ12,"◆",IF(AND(T$6&gt;=$BF12,T$6&lt;=$BG12),IF(AND(T$6&gt;=$BD12,T$6&lt;=$BE12),"実","外"),IF(AND(T$6&gt;=$BD12,T$6&lt;=$BE12),"計",IF(AND(T$6&gt;=$BH12,T$6&lt;=$BI12),"遅","")))))</f>
        <v/>
      </c>
      <c r="U12" s="93" t="str">
        <f>IF($BB12="","",IF(U$6=$BJ12,"◆",IF(AND(U$6&gt;=$BF12,U$6&lt;=$BG12),IF(AND(U$6&gt;=$BD12,U$6&lt;=$BE12),"実","外"),IF(AND(U$6&gt;=$BD12,U$6&lt;=$BE12),"計",IF(AND(U$6&gt;=$BH12,U$6&lt;=$BI12),"遅","")))))</f>
        <v/>
      </c>
      <c r="V12" s="93" t="str">
        <f>IF($BB12="","",IF(V$6=$BJ12,"◆",IF(AND(V$6&gt;=$BF12,V$6&lt;=$BG12),IF(AND(V$6&gt;=$BD12,V$6&lt;=$BE12),"実","外"),IF(AND(V$6&gt;=$BD12,V$6&lt;=$BE12),"計",IF(AND(V$6&gt;=$BH12,V$6&lt;=$BI12),"遅","")))))</f>
        <v>◆</v>
      </c>
      <c r="W12" s="93" t="str">
        <f>IF($BB12="","",IF(W$6=$BJ12,"◆",IF(AND(W$6&gt;=$BF12,W$6&lt;=$BG12),IF(AND(W$6&gt;=$BD12,W$6&lt;=$BE12),"実","外"),IF(AND(W$6&gt;=$BD12,W$6&lt;=$BE12),"計",IF(AND(W$6&gt;=$BH12,W$6&lt;=$BI12),"遅","")))))</f>
        <v/>
      </c>
      <c r="X12" s="93" t="str">
        <f>IF($BB12="","",IF(X$6=$BJ12,"◆",IF(AND(X$6&gt;=$BF12,X$6&lt;=$BG12),IF(AND(X$6&gt;=$BD12,X$6&lt;=$BE12),"実","外"),IF(AND(X$6&gt;=$BD12,X$6&lt;=$BE12),"計",IF(AND(X$6&gt;=$BH12,X$6&lt;=$BI12),"遅","")))))</f>
        <v/>
      </c>
      <c r="Y12" s="93" t="str">
        <f>IF($BB12="","",IF(Y$6=$BJ12,"◆",IF(AND(Y$6&gt;=$BF12,Y$6&lt;=$BG12),IF(AND(Y$6&gt;=$BD12,Y$6&lt;=$BE12),"実","外"),IF(AND(Y$6&gt;=$BD12,Y$6&lt;=$BE12),"計",IF(AND(Y$6&gt;=$BH12,Y$6&lt;=$BI12),"遅","")))))</f>
        <v/>
      </c>
      <c r="Z12" s="93" t="str">
        <f>IF($BB12="","",IF(Z$6=$BJ12,"◆",IF(AND(Z$6&gt;=$BF12,Z$6&lt;=$BG12),IF(AND(Z$6&gt;=$BD12,Z$6&lt;=$BE12),"実","外"),IF(AND(Z$6&gt;=$BD12,Z$6&lt;=$BE12),"計",IF(AND(Z$6&gt;=$BH12,Z$6&lt;=$BI12),"遅","")))))</f>
        <v/>
      </c>
      <c r="AA12" s="93" t="str">
        <f>IF($BB12="","",IF(AA$6=$BJ12,"◆",IF(AND(AA$6&gt;=$BF12,AA$6&lt;=$BG12),IF(AND(AA$6&gt;=$BD12,AA$6&lt;=$BE12),"実","外"),IF(AND(AA$6&gt;=$BD12,AA$6&lt;=$BE12),"計",IF(AND(AA$6&gt;=$BH12,AA$6&lt;=$BI12),"遅","")))))</f>
        <v/>
      </c>
      <c r="AB12" s="93" t="str">
        <f>IF($BB12="","",IF(AB$6=$BJ12,"◆",IF(AND(AB$6&gt;=$BF12,AB$6&lt;=$BG12),IF(AND(AB$6&gt;=$BD12,AB$6&lt;=$BE12),"実","外"),IF(AND(AB$6&gt;=$BD12,AB$6&lt;=$BE12),"計",IF(AND(AB$6&gt;=$BH12,AB$6&lt;=$BI12),"遅","")))))</f>
        <v/>
      </c>
      <c r="AC12" s="93" t="str">
        <f>IF($BB12="","",IF(AC$6=$BJ12,"◆",IF(AND(AC$6&gt;=$BF12,AC$6&lt;=$BG12),IF(AND(AC$6&gt;=$BD12,AC$6&lt;=$BE12),"実","外"),IF(AND(AC$6&gt;=$BD12,AC$6&lt;=$BE12),"計",IF(AND(AC$6&gt;=$BH12,AC$6&lt;=$BI12),"遅","")))))</f>
        <v/>
      </c>
      <c r="AD12" s="93" t="str">
        <f>IF($BB12="","",IF(AD$6=$BJ12,"◆",IF(AND(AD$6&gt;=$BF12,AD$6&lt;=$BG12),IF(AND(AD$6&gt;=$BD12,AD$6&lt;=$BE12),"実","外"),IF(AND(AD$6&gt;=$BD12,AD$6&lt;=$BE12),"計",IF(AND(AD$6&gt;=$BH12,AD$6&lt;=$BI12),"遅","")))))</f>
        <v/>
      </c>
      <c r="AE12" s="93" t="str">
        <f>IF($BB12="","",IF(AE$6=$BJ12,"◆",IF(AND(AE$6&gt;=$BF12,AE$6&lt;=$BG12),IF(AND(AE$6&gt;=$BD12,AE$6&lt;=$BE12),"実","外"),IF(AND(AE$6&gt;=$BD12,AE$6&lt;=$BE12),"計",IF(AND(AE$6&gt;=$BH12,AE$6&lt;=$BI12),"遅","")))))</f>
        <v/>
      </c>
      <c r="AF12" s="93" t="str">
        <f>IF($BB12="","",IF(AF$6=$BJ12,"◆",IF(AND(AF$6&gt;=$BF12,AF$6&lt;=$BG12),IF(AND(AF$6&gt;=$BD12,AF$6&lt;=$BE12),"実","外"),IF(AND(AF$6&gt;=$BD12,AF$6&lt;=$BE12),"計",IF(AND(AF$6&gt;=$BH12,AF$6&lt;=$BI12),"遅","")))))</f>
        <v/>
      </c>
      <c r="AG12" s="93" t="str">
        <f>IF($BB12="","",IF(AG$6=$BJ12,"◆",IF(AND(AG$6&gt;=$BF12,AG$6&lt;=$BG12),IF(AND(AG$6&gt;=$BD12,AG$6&lt;=$BE12),"実","外"),IF(AND(AG$6&gt;=$BD12,AG$6&lt;=$BE12),"計",IF(AND(AG$6&gt;=$BH12,AG$6&lt;=$BI12),"遅","")))))</f>
        <v/>
      </c>
      <c r="AH12" s="93" t="str">
        <f>IF($BB12="","",IF(AH$6=$BJ12,"◆",IF(AND(AH$6&gt;=$BF12,AH$6&lt;=$BG12),IF(AND(AH$6&gt;=$BD12,AH$6&lt;=$BE12),"実","外"),IF(AND(AH$6&gt;=$BD12,AH$6&lt;=$BE12),"計",IF(AND(AH$6&gt;=$BH12,AH$6&lt;=$BI12),"遅","")))))</f>
        <v/>
      </c>
      <c r="AI12" s="93" t="str">
        <f>IF($BB12="","",IF(AI$6=$BJ12,"◆",IF(AND(AI$6&gt;=$BF12,AI$6&lt;=$BG12),IF(AND(AI$6&gt;=$BD12,AI$6&lt;=$BE12),"実","外"),IF(AND(AI$6&gt;=$BD12,AI$6&lt;=$BE12),"計",IF(AND(AI$6&gt;=$BH12,AI$6&lt;=$BI12),"遅","")))))</f>
        <v/>
      </c>
      <c r="AJ12" s="93" t="str">
        <f>IF($BB12="","",IF(AJ$6=$BJ12,"◆",IF(AND(AJ$6&gt;=$BF12,AJ$6&lt;=$BG12),IF(AND(AJ$6&gt;=$BD12,AJ$6&lt;=$BE12),"実","外"),IF(AND(AJ$6&gt;=$BD12,AJ$6&lt;=$BE12),"計",IF(AND(AJ$6&gt;=$BH12,AJ$6&lt;=$BI12),"遅","")))))</f>
        <v/>
      </c>
      <c r="AK12" s="93" t="str">
        <f>IF($BB12="","",IF(AK$6=$BJ12,"◆",IF(AND(AK$6&gt;=$BF12,AK$6&lt;=$BG12),IF(AND(AK$6&gt;=$BD12,AK$6&lt;=$BE12),"実","外"),IF(AND(AK$6&gt;=$BD12,AK$6&lt;=$BE12),"計",IF(AND(AK$6&gt;=$BH12,AK$6&lt;=$BI12),"遅","")))))</f>
        <v/>
      </c>
      <c r="AL12" s="93" t="str">
        <f>IF($BB12="","",IF(AL$6=$BJ12,"◆",IF(AND(AL$6&gt;=$BF12,AL$6&lt;=$BG12),IF(AND(AL$6&gt;=$BD12,AL$6&lt;=$BE12),"実","外"),IF(AND(AL$6&gt;=$BD12,AL$6&lt;=$BE12),"計",IF(AND(AL$6&gt;=$BH12,AL$6&lt;=$BI12),"遅","")))))</f>
        <v/>
      </c>
      <c r="AM12" s="93" t="str">
        <f>IF($BB12="","",IF(AM$6=$BJ12,"◆",IF(AND(AM$6&gt;=$BF12,AM$6&lt;=$BG12),IF(AND(AM$6&gt;=$BD12,AM$6&lt;=$BE12),"実","外"),IF(AND(AM$6&gt;=$BD12,AM$6&lt;=$BE12),"計",IF(AND(AM$6&gt;=$BH12,AM$6&lt;=$BI12),"遅","")))))</f>
        <v/>
      </c>
      <c r="AN12" s="93" t="str">
        <f>IF($BB12="","",IF(AN$6=$BJ12,"◆",IF(AND(AN$6&gt;=$BF12,AN$6&lt;=$BG12),IF(AND(AN$6&gt;=$BD12,AN$6&lt;=$BE12),"実","外"),IF(AND(AN$6&gt;=$BD12,AN$6&lt;=$BE12),"計",IF(AND(AN$6&gt;=$BH12,AN$6&lt;=$BI12),"遅","")))))</f>
        <v/>
      </c>
      <c r="AO12" s="93" t="str">
        <f>IF($BB12="","",IF(AO$6=$BJ12,"◆",IF(AND(AO$6&gt;=$BF12,AO$6&lt;=$BG12),IF(AND(AO$6&gt;=$BD12,AO$6&lt;=$BE12),"実","外"),IF(AND(AO$6&gt;=$BD12,AO$6&lt;=$BE12),"計",IF(AND(AO$6&gt;=$BH12,AO$6&lt;=$BI12),"遅","")))))</f>
        <v/>
      </c>
      <c r="AP12" s="93" t="str">
        <f>IF($BB12="","",IF(AP$6=$BJ12,"◆",IF(AND(AP$6&gt;=$BF12,AP$6&lt;=$BG12),IF(AND(AP$6&gt;=$BD12,AP$6&lt;=$BE12),"実","外"),IF(AND(AP$6&gt;=$BD12,AP$6&lt;=$BE12),"計",IF(AND(AP$6&gt;=$BH12,AP$6&lt;=$BI12),"遅","")))))</f>
        <v/>
      </c>
      <c r="AQ12" s="93" t="str">
        <f>IF($BB12="","",IF(AQ$6=$BJ12,"◆",IF(AND(AQ$6&gt;=$BF12,AQ$6&lt;=$BG12),IF(AND(AQ$6&gt;=$BD12,AQ$6&lt;=$BE12),"実","外"),IF(AND(AQ$6&gt;=$BD12,AQ$6&lt;=$BE12),"計",IF(AND(AQ$6&gt;=$BH12,AQ$6&lt;=$BI12),"遅","")))))</f>
        <v/>
      </c>
      <c r="AR12" s="93" t="str">
        <f>IF($BB12="","",IF(AR$6=$BJ12,"◆",IF(AND(AR$6&gt;=$BF12,AR$6&lt;=$BG12),IF(AND(AR$6&gt;=$BD12,AR$6&lt;=$BE12),"実","外"),IF(AND(AR$6&gt;=$BD12,AR$6&lt;=$BE12),"計",IF(AND(AR$6&gt;=$BH12,AR$6&lt;=$BI12),"遅","")))))</f>
        <v/>
      </c>
      <c r="AS12" s="93" t="str">
        <f>IF($BB12="","",IF(AS$6=$BJ12,"◆",IF(AND(AS$6&gt;=$BF12,AS$6&lt;=$BG12),IF(AND(AS$6&gt;=$BD12,AS$6&lt;=$BE12),"実","外"),IF(AND(AS$6&gt;=$BD12,AS$6&lt;=$BE12),"計",IF(AND(AS$6&gt;=$BH12,AS$6&lt;=$BI12),"遅","")))))</f>
        <v/>
      </c>
      <c r="AT12" s="93" t="str">
        <f>IF($BB12="","",IF(AT$6=$BJ12,"◆",IF(AND(AT$6&gt;=$BF12,AT$6&lt;=$BG12),IF(AND(AT$6&gt;=$BD12,AT$6&lt;=$BE12),"実","外"),IF(AND(AT$6&gt;=$BD12,AT$6&lt;=$BE12),"計",IF(AND(AT$6&gt;=$BH12,AT$6&lt;=$BI12),"遅","")))))</f>
        <v/>
      </c>
      <c r="AU12" s="93" t="str">
        <f>IF($BB12="","",IF(AU$6=$BJ12,"◆",IF(AND(AU$6&gt;=$BF12,AU$6&lt;=$BG12),IF(AND(AU$6&gt;=$BD12,AU$6&lt;=$BE12),"実","外"),IF(AND(AU$6&gt;=$BD12,AU$6&lt;=$BE12),"計",IF(AND(AU$6&gt;=$BH12,AU$6&lt;=$BI12),"遅","")))))</f>
        <v/>
      </c>
      <c r="AV12" s="93" t="str">
        <f>IF($BB12="","",IF(AV$6=$BJ12,"◆",IF(AND(AV$6&gt;=$BF12,AV$6&lt;=$BG12),IF(AND(AV$6&gt;=$BD12,AV$6&lt;=$BE12),"実","外"),IF(AND(AV$6&gt;=$BD12,AV$6&lt;=$BE12),"計",IF(AND(AV$6&gt;=$BH12,AV$6&lt;=$BI12),"遅","")))))</f>
        <v/>
      </c>
      <c r="AW12" s="93" t="str">
        <f>IF($BB12="","",IF(AW$6=$BJ12,"◆",IF(AND(AW$6&gt;=$BF12,AW$6&lt;=$BG12),IF(AND(AW$6&gt;=$BD12,AW$6&lt;=$BE12),"実","外"),IF(AND(AW$6&gt;=$BD12,AW$6&lt;=$BE12),"計",IF(AND(AW$6&gt;=$BH12,AW$6&lt;=$BI12),"遅","")))))</f>
        <v/>
      </c>
      <c r="AX12" s="93" t="str">
        <f>IF($BB12="","",IF(AX$6=$BJ12,"◆",IF(AND(AX$6&gt;=$BF12,AX$6&lt;=$BG12),IF(AND(AX$6&gt;=$BD12,AX$6&lt;=$BE12),"実","外"),IF(AND(AX$6&gt;=$BD12,AX$6&lt;=$BE12),"計",IF(AND(AX$6&gt;=$BH12,AX$6&lt;=$BI12),"遅","")))))</f>
        <v/>
      </c>
      <c r="AY12" s="93" t="str">
        <f>IF($BB12="","",IF(AY$6=$BJ12,"◆",IF(AND(AY$6&gt;=$BF12,AY$6&lt;=$BG12),IF(AND(AY$6&gt;=$BD12,AY$6&lt;=$BE12),"実","外"),IF(AND(AY$6&gt;=$BD12,AY$6&lt;=$BE12),"計",IF(AND(AY$6&gt;=$BH12,AY$6&lt;=$BI12),"遅","")))))</f>
        <v/>
      </c>
      <c r="AZ12" s="93" t="str">
        <f>IF($BB12="","",IF(AZ$6=$BJ12,"◆",IF(AND(AZ$6&gt;=$BF12,AZ$6&lt;=$BG12),IF(AND(AZ$6&gt;=$BD12,AZ$6&lt;=$BE12),"実","外"),IF(AND(AZ$6&gt;=$BD12,AZ$6&lt;=$BE12),"計",IF(AND(AZ$6&gt;=$BH12,AZ$6&lt;=$BI12),"遅","")))))</f>
        <v/>
      </c>
      <c r="BB12">
        <f>IF(5&gt;COUNTIF(tblSteps[日別対象],1),"",IFERROR(MATCH(5,tblSteps[日別順位],0),""))</f>
        <v>8</v>
      </c>
      <c r="BC12" t="str">
        <f>IF($BB12="","",INDEX(tblSteps[案件ID],$BB12)&amp;"")</f>
        <v>A0020</v>
      </c>
      <c r="BD12">
        <f>IF($BB12="","",INDEX(tblSteps[計開],$BB12))</f>
        <v>46300</v>
      </c>
      <c r="BE12">
        <f>IF($BB12="","",INDEX(tblSteps[計終],$BB12))</f>
        <v>46300</v>
      </c>
      <c r="BF12">
        <f>IF($BB12="","",INDEX(tblSteps[実開],$BB12))</f>
        <v>46300</v>
      </c>
      <c r="BG12">
        <f>IF($BB12="","",INDEX(tblSteps[実終],$BB12))</f>
        <v>46300</v>
      </c>
      <c r="BH12">
        <f>IF($BB12="","",INDEX(tblSteps[遅開],$BB12))</f>
        <v>46301</v>
      </c>
      <c r="BI12">
        <f>IF($BB12="","",INDEX(tblSteps[遅終],$BB12))</f>
        <v>0</v>
      </c>
      <c r="BJ12">
        <f>IF($BB12="","",INDEX(tblSteps[納期値],$BB12))</f>
        <v>46304</v>
      </c>
    </row>
    <row r="13" ht="18" customHeight="1">
      <c r="A13" s="89" t="str">
        <f>IF($BB13="","",INDEX(tblSteps[工程ID],$BB13)&amp;"")</f>
        <v>S0024</v>
      </c>
      <c r="B13" s="88" t="str">
        <f>IF($BB13="","",IF($BC13=$BC12,"",$BC13&amp;" "&amp;INDEX(tblSteps[案件名],$BB13)))</f>
        <v/>
      </c>
      <c r="C13" s="88" t="str">
        <f>IF($BB13="","",INDEX(tblSteps[工程名],$BB13)&amp;"")</f>
        <v>追加見積の打合せ</v>
      </c>
      <c r="D13" s="89" t="str">
        <f>IF($BB13="","",INDEX(tblSteps[担当],$BB13)&amp;"")</f>
        <v>伊藤</v>
      </c>
      <c r="E13" s="89" t="str">
        <f>IF($BB13="","",INDEX(tblSteps[状態],$BB13)&amp;"")</f>
        <v>未着手</v>
      </c>
      <c r="F13" s="90">
        <f>IF($BB13="","",IF(ISNUMBER(INDEX(tblSteps[進捗率],$BB13)),INDEX(tblSteps[進捗率],$BB13),""))</f>
        <v>0</v>
      </c>
      <c r="G13" s="91">
        <f>IF($BB13="","",IF(ISNUMBER(INDEX(tblSteps[計画開始日],$BB13)),INDEX(tblSteps[計画開始日],$BB13),"未入力"))</f>
        <v>46300.0</v>
      </c>
      <c r="H13" s="91">
        <f>IF($BB13="","",IF(ISNUMBER(INDEX(tblSteps[計画終了日],$BB13)),INDEX(tblSteps[計画終了日],$BB13),"未入力"))</f>
        <v>46300.0</v>
      </c>
      <c r="I13" s="91" t="str">
        <f>IF($BB13="","",IF(ISNUMBER(INDEX(tblSteps[完了見込日],$BB13)),INDEX(tblSteps[完了見込日],$BB13),""))</f>
        <v/>
      </c>
      <c r="J13" s="92" t="str">
        <f>IF($BB13="","",INDEX(tblSteps[注意短],$BB13)&amp;"")</f>
        <v>重複の可能性</v>
      </c>
      <c r="K13" s="93" t="str">
        <f>IF($BB13="","",IF(K$6=$BJ13,"◆",IF(AND(K$6&gt;=$BF13,K$6&lt;=$BG13),IF(AND(K$6&gt;=$BD13,K$6&lt;=$BE13),"実","外"),IF(AND(K$6&gt;=$BD13,K$6&lt;=$BE13),"計",IF(AND(K$6&gt;=$BH13,K$6&lt;=$BI13),"遅","")))))</f>
        <v/>
      </c>
      <c r="L13" s="93" t="str">
        <f>IF($BB13="","",IF(L$6=$BJ13,"◆",IF(AND(L$6&gt;=$BF13,L$6&lt;=$BG13),IF(AND(L$6&gt;=$BD13,L$6&lt;=$BE13),"実","外"),IF(AND(L$6&gt;=$BD13,L$6&lt;=$BE13),"計",IF(AND(L$6&gt;=$BH13,L$6&lt;=$BI13),"遅","")))))</f>
        <v/>
      </c>
      <c r="M13" s="93" t="str">
        <f>IF($BB13="","",IF(M$6=$BJ13,"◆",IF(AND(M$6&gt;=$BF13,M$6&lt;=$BG13),IF(AND(M$6&gt;=$BD13,M$6&lt;=$BE13),"実","外"),IF(AND(M$6&gt;=$BD13,M$6&lt;=$BE13),"計",IF(AND(M$6&gt;=$BH13,M$6&lt;=$BI13),"遅","")))))</f>
        <v/>
      </c>
      <c r="N13" s="93" t="str">
        <f>IF($BB13="","",IF(N$6=$BJ13,"◆",IF(AND(N$6&gt;=$BF13,N$6&lt;=$BG13),IF(AND(N$6&gt;=$BD13,N$6&lt;=$BE13),"実","外"),IF(AND(N$6&gt;=$BD13,N$6&lt;=$BE13),"計",IF(AND(N$6&gt;=$BH13,N$6&lt;=$BI13),"遅","")))))</f>
        <v/>
      </c>
      <c r="O13" s="93" t="str">
        <f>IF($BB13="","",IF(O$6=$BJ13,"◆",IF(AND(O$6&gt;=$BF13,O$6&lt;=$BG13),IF(AND(O$6&gt;=$BD13,O$6&lt;=$BE13),"実","外"),IF(AND(O$6&gt;=$BD13,O$6&lt;=$BE13),"計",IF(AND(O$6&gt;=$BH13,O$6&lt;=$BI13),"遅","")))))</f>
        <v/>
      </c>
      <c r="P13" s="93" t="str">
        <f>IF($BB13="","",IF(P$6=$BJ13,"◆",IF(AND(P$6&gt;=$BF13,P$6&lt;=$BG13),IF(AND(P$6&gt;=$BD13,P$6&lt;=$BE13),"実","外"),IF(AND(P$6&gt;=$BD13,P$6&lt;=$BE13),"計",IF(AND(P$6&gt;=$BH13,P$6&lt;=$BI13),"遅","")))))</f>
        <v/>
      </c>
      <c r="Q13" s="93" t="str">
        <f>IF($BB13="","",IF(Q$6=$BJ13,"◆",IF(AND(Q$6&gt;=$BF13,Q$6&lt;=$BG13),IF(AND(Q$6&gt;=$BD13,Q$6&lt;=$BE13),"実","外"),IF(AND(Q$6&gt;=$BD13,Q$6&lt;=$BE13),"計",IF(AND(Q$6&gt;=$BH13,Q$6&lt;=$BI13),"遅","")))))</f>
        <v/>
      </c>
      <c r="R13" s="93" t="str">
        <f>IF($BB13="","",IF(R$6=$BJ13,"◆",IF(AND(R$6&gt;=$BF13,R$6&lt;=$BG13),IF(AND(R$6&gt;=$BD13,R$6&lt;=$BE13),"実","外"),IF(AND(R$6&gt;=$BD13,R$6&lt;=$BE13),"計",IF(AND(R$6&gt;=$BH13,R$6&lt;=$BI13),"遅","")))))</f>
        <v>計</v>
      </c>
      <c r="S13" s="93" t="str">
        <f>IF($BB13="","",IF(S$6=$BJ13,"◆",IF(AND(S$6&gt;=$BF13,S$6&lt;=$BG13),IF(AND(S$6&gt;=$BD13,S$6&lt;=$BE13),"実","外"),IF(AND(S$6&gt;=$BD13,S$6&lt;=$BE13),"計",IF(AND(S$6&gt;=$BH13,S$6&lt;=$BI13),"遅","")))))</f>
        <v/>
      </c>
      <c r="T13" s="93" t="str">
        <f>IF($BB13="","",IF(T$6=$BJ13,"◆",IF(AND(T$6&gt;=$BF13,T$6&lt;=$BG13),IF(AND(T$6&gt;=$BD13,T$6&lt;=$BE13),"実","外"),IF(AND(T$6&gt;=$BD13,T$6&lt;=$BE13),"計",IF(AND(T$6&gt;=$BH13,T$6&lt;=$BI13),"遅","")))))</f>
        <v/>
      </c>
      <c r="U13" s="93" t="str">
        <f>IF($BB13="","",IF(U$6=$BJ13,"◆",IF(AND(U$6&gt;=$BF13,U$6&lt;=$BG13),IF(AND(U$6&gt;=$BD13,U$6&lt;=$BE13),"実","外"),IF(AND(U$6&gt;=$BD13,U$6&lt;=$BE13),"計",IF(AND(U$6&gt;=$BH13,U$6&lt;=$BI13),"遅","")))))</f>
        <v/>
      </c>
      <c r="V13" s="93" t="str">
        <f>IF($BB13="","",IF(V$6=$BJ13,"◆",IF(AND(V$6&gt;=$BF13,V$6&lt;=$BG13),IF(AND(V$6&gt;=$BD13,V$6&lt;=$BE13),"実","外"),IF(AND(V$6&gt;=$BD13,V$6&lt;=$BE13),"計",IF(AND(V$6&gt;=$BH13,V$6&lt;=$BI13),"遅","")))))</f>
        <v>◆</v>
      </c>
      <c r="W13" s="93" t="str">
        <f>IF($BB13="","",IF(W$6=$BJ13,"◆",IF(AND(W$6&gt;=$BF13,W$6&lt;=$BG13),IF(AND(W$6&gt;=$BD13,W$6&lt;=$BE13),"実","外"),IF(AND(W$6&gt;=$BD13,W$6&lt;=$BE13),"計",IF(AND(W$6&gt;=$BH13,W$6&lt;=$BI13),"遅","")))))</f>
        <v/>
      </c>
      <c r="X13" s="93" t="str">
        <f>IF($BB13="","",IF(X$6=$BJ13,"◆",IF(AND(X$6&gt;=$BF13,X$6&lt;=$BG13),IF(AND(X$6&gt;=$BD13,X$6&lt;=$BE13),"実","外"),IF(AND(X$6&gt;=$BD13,X$6&lt;=$BE13),"計",IF(AND(X$6&gt;=$BH13,X$6&lt;=$BI13),"遅","")))))</f>
        <v/>
      </c>
      <c r="Y13" s="93" t="str">
        <f>IF($BB13="","",IF(Y$6=$BJ13,"◆",IF(AND(Y$6&gt;=$BF13,Y$6&lt;=$BG13),IF(AND(Y$6&gt;=$BD13,Y$6&lt;=$BE13),"実","外"),IF(AND(Y$6&gt;=$BD13,Y$6&lt;=$BE13),"計",IF(AND(Y$6&gt;=$BH13,Y$6&lt;=$BI13),"遅","")))))</f>
        <v/>
      </c>
      <c r="Z13" s="93" t="str">
        <f>IF($BB13="","",IF(Z$6=$BJ13,"◆",IF(AND(Z$6&gt;=$BF13,Z$6&lt;=$BG13),IF(AND(Z$6&gt;=$BD13,Z$6&lt;=$BE13),"実","外"),IF(AND(Z$6&gt;=$BD13,Z$6&lt;=$BE13),"計",IF(AND(Z$6&gt;=$BH13,Z$6&lt;=$BI13),"遅","")))))</f>
        <v/>
      </c>
      <c r="AA13" s="93" t="str">
        <f>IF($BB13="","",IF(AA$6=$BJ13,"◆",IF(AND(AA$6&gt;=$BF13,AA$6&lt;=$BG13),IF(AND(AA$6&gt;=$BD13,AA$6&lt;=$BE13),"実","外"),IF(AND(AA$6&gt;=$BD13,AA$6&lt;=$BE13),"計",IF(AND(AA$6&gt;=$BH13,AA$6&lt;=$BI13),"遅","")))))</f>
        <v/>
      </c>
      <c r="AB13" s="93" t="str">
        <f>IF($BB13="","",IF(AB$6=$BJ13,"◆",IF(AND(AB$6&gt;=$BF13,AB$6&lt;=$BG13),IF(AND(AB$6&gt;=$BD13,AB$6&lt;=$BE13),"実","外"),IF(AND(AB$6&gt;=$BD13,AB$6&lt;=$BE13),"計",IF(AND(AB$6&gt;=$BH13,AB$6&lt;=$BI13),"遅","")))))</f>
        <v/>
      </c>
      <c r="AC13" s="93" t="str">
        <f>IF($BB13="","",IF(AC$6=$BJ13,"◆",IF(AND(AC$6&gt;=$BF13,AC$6&lt;=$BG13),IF(AND(AC$6&gt;=$BD13,AC$6&lt;=$BE13),"実","外"),IF(AND(AC$6&gt;=$BD13,AC$6&lt;=$BE13),"計",IF(AND(AC$6&gt;=$BH13,AC$6&lt;=$BI13),"遅","")))))</f>
        <v/>
      </c>
      <c r="AD13" s="93" t="str">
        <f>IF($BB13="","",IF(AD$6=$BJ13,"◆",IF(AND(AD$6&gt;=$BF13,AD$6&lt;=$BG13),IF(AND(AD$6&gt;=$BD13,AD$6&lt;=$BE13),"実","外"),IF(AND(AD$6&gt;=$BD13,AD$6&lt;=$BE13),"計",IF(AND(AD$6&gt;=$BH13,AD$6&lt;=$BI13),"遅","")))))</f>
        <v/>
      </c>
      <c r="AE13" s="93" t="str">
        <f>IF($BB13="","",IF(AE$6=$BJ13,"◆",IF(AND(AE$6&gt;=$BF13,AE$6&lt;=$BG13),IF(AND(AE$6&gt;=$BD13,AE$6&lt;=$BE13),"実","外"),IF(AND(AE$6&gt;=$BD13,AE$6&lt;=$BE13),"計",IF(AND(AE$6&gt;=$BH13,AE$6&lt;=$BI13),"遅","")))))</f>
        <v/>
      </c>
      <c r="AF13" s="93" t="str">
        <f>IF($BB13="","",IF(AF$6=$BJ13,"◆",IF(AND(AF$6&gt;=$BF13,AF$6&lt;=$BG13),IF(AND(AF$6&gt;=$BD13,AF$6&lt;=$BE13),"実","外"),IF(AND(AF$6&gt;=$BD13,AF$6&lt;=$BE13),"計",IF(AND(AF$6&gt;=$BH13,AF$6&lt;=$BI13),"遅","")))))</f>
        <v/>
      </c>
      <c r="AG13" s="93" t="str">
        <f>IF($BB13="","",IF(AG$6=$BJ13,"◆",IF(AND(AG$6&gt;=$BF13,AG$6&lt;=$BG13),IF(AND(AG$6&gt;=$BD13,AG$6&lt;=$BE13),"実","外"),IF(AND(AG$6&gt;=$BD13,AG$6&lt;=$BE13),"計",IF(AND(AG$6&gt;=$BH13,AG$6&lt;=$BI13),"遅","")))))</f>
        <v/>
      </c>
      <c r="AH13" s="93" t="str">
        <f>IF($BB13="","",IF(AH$6=$BJ13,"◆",IF(AND(AH$6&gt;=$BF13,AH$6&lt;=$BG13),IF(AND(AH$6&gt;=$BD13,AH$6&lt;=$BE13),"実","外"),IF(AND(AH$6&gt;=$BD13,AH$6&lt;=$BE13),"計",IF(AND(AH$6&gt;=$BH13,AH$6&lt;=$BI13),"遅","")))))</f>
        <v/>
      </c>
      <c r="AI13" s="93" t="str">
        <f>IF($BB13="","",IF(AI$6=$BJ13,"◆",IF(AND(AI$6&gt;=$BF13,AI$6&lt;=$BG13),IF(AND(AI$6&gt;=$BD13,AI$6&lt;=$BE13),"実","外"),IF(AND(AI$6&gt;=$BD13,AI$6&lt;=$BE13),"計",IF(AND(AI$6&gt;=$BH13,AI$6&lt;=$BI13),"遅","")))))</f>
        <v/>
      </c>
      <c r="AJ13" s="93" t="str">
        <f>IF($BB13="","",IF(AJ$6=$BJ13,"◆",IF(AND(AJ$6&gt;=$BF13,AJ$6&lt;=$BG13),IF(AND(AJ$6&gt;=$BD13,AJ$6&lt;=$BE13),"実","外"),IF(AND(AJ$6&gt;=$BD13,AJ$6&lt;=$BE13),"計",IF(AND(AJ$6&gt;=$BH13,AJ$6&lt;=$BI13),"遅","")))))</f>
        <v/>
      </c>
      <c r="AK13" s="93" t="str">
        <f>IF($BB13="","",IF(AK$6=$BJ13,"◆",IF(AND(AK$6&gt;=$BF13,AK$6&lt;=$BG13),IF(AND(AK$6&gt;=$BD13,AK$6&lt;=$BE13),"実","外"),IF(AND(AK$6&gt;=$BD13,AK$6&lt;=$BE13),"計",IF(AND(AK$6&gt;=$BH13,AK$6&lt;=$BI13),"遅","")))))</f>
        <v/>
      </c>
      <c r="AL13" s="93" t="str">
        <f>IF($BB13="","",IF(AL$6=$BJ13,"◆",IF(AND(AL$6&gt;=$BF13,AL$6&lt;=$BG13),IF(AND(AL$6&gt;=$BD13,AL$6&lt;=$BE13),"実","外"),IF(AND(AL$6&gt;=$BD13,AL$6&lt;=$BE13),"計",IF(AND(AL$6&gt;=$BH13,AL$6&lt;=$BI13),"遅","")))))</f>
        <v/>
      </c>
      <c r="AM13" s="93" t="str">
        <f>IF($BB13="","",IF(AM$6=$BJ13,"◆",IF(AND(AM$6&gt;=$BF13,AM$6&lt;=$BG13),IF(AND(AM$6&gt;=$BD13,AM$6&lt;=$BE13),"実","外"),IF(AND(AM$6&gt;=$BD13,AM$6&lt;=$BE13),"計",IF(AND(AM$6&gt;=$BH13,AM$6&lt;=$BI13),"遅","")))))</f>
        <v/>
      </c>
      <c r="AN13" s="93" t="str">
        <f>IF($BB13="","",IF(AN$6=$BJ13,"◆",IF(AND(AN$6&gt;=$BF13,AN$6&lt;=$BG13),IF(AND(AN$6&gt;=$BD13,AN$6&lt;=$BE13),"実","外"),IF(AND(AN$6&gt;=$BD13,AN$6&lt;=$BE13),"計",IF(AND(AN$6&gt;=$BH13,AN$6&lt;=$BI13),"遅","")))))</f>
        <v/>
      </c>
      <c r="AO13" s="93" t="str">
        <f>IF($BB13="","",IF(AO$6=$BJ13,"◆",IF(AND(AO$6&gt;=$BF13,AO$6&lt;=$BG13),IF(AND(AO$6&gt;=$BD13,AO$6&lt;=$BE13),"実","外"),IF(AND(AO$6&gt;=$BD13,AO$6&lt;=$BE13),"計",IF(AND(AO$6&gt;=$BH13,AO$6&lt;=$BI13),"遅","")))))</f>
        <v/>
      </c>
      <c r="AP13" s="93" t="str">
        <f>IF($BB13="","",IF(AP$6=$BJ13,"◆",IF(AND(AP$6&gt;=$BF13,AP$6&lt;=$BG13),IF(AND(AP$6&gt;=$BD13,AP$6&lt;=$BE13),"実","外"),IF(AND(AP$6&gt;=$BD13,AP$6&lt;=$BE13),"計",IF(AND(AP$6&gt;=$BH13,AP$6&lt;=$BI13),"遅","")))))</f>
        <v/>
      </c>
      <c r="AQ13" s="93" t="str">
        <f>IF($BB13="","",IF(AQ$6=$BJ13,"◆",IF(AND(AQ$6&gt;=$BF13,AQ$6&lt;=$BG13),IF(AND(AQ$6&gt;=$BD13,AQ$6&lt;=$BE13),"実","外"),IF(AND(AQ$6&gt;=$BD13,AQ$6&lt;=$BE13),"計",IF(AND(AQ$6&gt;=$BH13,AQ$6&lt;=$BI13),"遅","")))))</f>
        <v/>
      </c>
      <c r="AR13" s="93" t="str">
        <f>IF($BB13="","",IF(AR$6=$BJ13,"◆",IF(AND(AR$6&gt;=$BF13,AR$6&lt;=$BG13),IF(AND(AR$6&gt;=$BD13,AR$6&lt;=$BE13),"実","外"),IF(AND(AR$6&gt;=$BD13,AR$6&lt;=$BE13),"計",IF(AND(AR$6&gt;=$BH13,AR$6&lt;=$BI13),"遅","")))))</f>
        <v/>
      </c>
      <c r="AS13" s="93" t="str">
        <f>IF($BB13="","",IF(AS$6=$BJ13,"◆",IF(AND(AS$6&gt;=$BF13,AS$6&lt;=$BG13),IF(AND(AS$6&gt;=$BD13,AS$6&lt;=$BE13),"実","外"),IF(AND(AS$6&gt;=$BD13,AS$6&lt;=$BE13),"計",IF(AND(AS$6&gt;=$BH13,AS$6&lt;=$BI13),"遅","")))))</f>
        <v/>
      </c>
      <c r="AT13" s="93" t="str">
        <f>IF($BB13="","",IF(AT$6=$BJ13,"◆",IF(AND(AT$6&gt;=$BF13,AT$6&lt;=$BG13),IF(AND(AT$6&gt;=$BD13,AT$6&lt;=$BE13),"実","外"),IF(AND(AT$6&gt;=$BD13,AT$6&lt;=$BE13),"計",IF(AND(AT$6&gt;=$BH13,AT$6&lt;=$BI13),"遅","")))))</f>
        <v/>
      </c>
      <c r="AU13" s="93" t="str">
        <f>IF($BB13="","",IF(AU$6=$BJ13,"◆",IF(AND(AU$6&gt;=$BF13,AU$6&lt;=$BG13),IF(AND(AU$6&gt;=$BD13,AU$6&lt;=$BE13),"実","外"),IF(AND(AU$6&gt;=$BD13,AU$6&lt;=$BE13),"計",IF(AND(AU$6&gt;=$BH13,AU$6&lt;=$BI13),"遅","")))))</f>
        <v/>
      </c>
      <c r="AV13" s="93" t="str">
        <f>IF($BB13="","",IF(AV$6=$BJ13,"◆",IF(AND(AV$6&gt;=$BF13,AV$6&lt;=$BG13),IF(AND(AV$6&gt;=$BD13,AV$6&lt;=$BE13),"実","外"),IF(AND(AV$6&gt;=$BD13,AV$6&lt;=$BE13),"計",IF(AND(AV$6&gt;=$BH13,AV$6&lt;=$BI13),"遅","")))))</f>
        <v/>
      </c>
      <c r="AW13" s="93" t="str">
        <f>IF($BB13="","",IF(AW$6=$BJ13,"◆",IF(AND(AW$6&gt;=$BF13,AW$6&lt;=$BG13),IF(AND(AW$6&gt;=$BD13,AW$6&lt;=$BE13),"実","外"),IF(AND(AW$6&gt;=$BD13,AW$6&lt;=$BE13),"計",IF(AND(AW$6&gt;=$BH13,AW$6&lt;=$BI13),"遅","")))))</f>
        <v/>
      </c>
      <c r="AX13" s="93" t="str">
        <f>IF($BB13="","",IF(AX$6=$BJ13,"◆",IF(AND(AX$6&gt;=$BF13,AX$6&lt;=$BG13),IF(AND(AX$6&gt;=$BD13,AX$6&lt;=$BE13),"実","外"),IF(AND(AX$6&gt;=$BD13,AX$6&lt;=$BE13),"計",IF(AND(AX$6&gt;=$BH13,AX$6&lt;=$BI13),"遅","")))))</f>
        <v/>
      </c>
      <c r="AY13" s="93" t="str">
        <f>IF($BB13="","",IF(AY$6=$BJ13,"◆",IF(AND(AY$6&gt;=$BF13,AY$6&lt;=$BG13),IF(AND(AY$6&gt;=$BD13,AY$6&lt;=$BE13),"実","外"),IF(AND(AY$6&gt;=$BD13,AY$6&lt;=$BE13),"計",IF(AND(AY$6&gt;=$BH13,AY$6&lt;=$BI13),"遅","")))))</f>
        <v/>
      </c>
      <c r="AZ13" s="93" t="str">
        <f>IF($BB13="","",IF(AZ$6=$BJ13,"◆",IF(AND(AZ$6&gt;=$BF13,AZ$6&lt;=$BG13),IF(AND(AZ$6&gt;=$BD13,AZ$6&lt;=$BE13),"実","外"),IF(AND(AZ$6&gt;=$BD13,AZ$6&lt;=$BE13),"計",IF(AND(AZ$6&gt;=$BH13,AZ$6&lt;=$BI13),"遅","")))))</f>
        <v/>
      </c>
      <c r="BB13">
        <f>IF(6&gt;COUNTIF(tblSteps[日別対象],1),"",IFERROR(MATCH(6,tblSteps[日別順位],0),""))</f>
        <v>24</v>
      </c>
      <c r="BC13" t="str">
        <f>IF($BB13="","",INDEX(tblSteps[案件ID],$BB13)&amp;"")</f>
        <v>A0020</v>
      </c>
      <c r="BD13">
        <f>IF($BB13="","",INDEX(tblSteps[計開],$BB13))</f>
        <v>46300</v>
      </c>
      <c r="BE13">
        <f>IF($BB13="","",INDEX(tblSteps[計終],$BB13))</f>
        <v>46300</v>
      </c>
      <c r="BF13">
        <f>IF($BB13="","",INDEX(tblSteps[実開],$BB13))</f>
        <v>1</v>
      </c>
      <c r="BG13">
        <f>IF($BB13="","",INDEX(tblSteps[実終],$BB13))</f>
        <v>0</v>
      </c>
      <c r="BH13">
        <f>IF($BB13="","",INDEX(tblSteps[遅開],$BB13))</f>
        <v>46301</v>
      </c>
      <c r="BI13">
        <f>IF($BB13="","",INDEX(tblSteps[遅終],$BB13))</f>
        <v>0</v>
      </c>
      <c r="BJ13">
        <f>IF($BB13="","",INDEX(tblSteps[納期値],$BB13))</f>
        <v>46304</v>
      </c>
    </row>
    <row r="14" ht="18" customHeight="1">
      <c r="A14" s="89" t="str">
        <f>IF($BB14="","",INDEX(tblSteps[工程ID],$BB14)&amp;"")</f>
        <v>S0009</v>
      </c>
      <c r="B14" s="88" t="str">
        <f>IF($BB14="","",IF($BC14=$BC13,"",$BC14&amp;" "&amp;INDEX(tblSteps[案件名],$BB14)))</f>
        <v/>
      </c>
      <c r="C14" s="88" t="str">
        <f>IF($BB14="","",INDEX(tblSteps[工程名],$BB14)&amp;"")</f>
        <v>動作確認・報告書</v>
      </c>
      <c r="D14" s="89" t="str">
        <f>IF($BB14="","",INDEX(tblSteps[担当],$BB14)&amp;"")</f>
        <v>伊藤</v>
      </c>
      <c r="E14" s="89" t="str">
        <f>IF($BB14="","",INDEX(tblSteps[状態],$BB14)&amp;"")</f>
        <v>未着手</v>
      </c>
      <c r="F14" s="90">
        <f>IF($BB14="","",IF(ISNUMBER(INDEX(tblSteps[進捗率],$BB14)),INDEX(tblSteps[進捗率],$BB14),""))</f>
        <v>0</v>
      </c>
      <c r="G14" s="91">
        <f>IF($BB14="","",IF(ISNUMBER(INDEX(tblSteps[計画開始日],$BB14)),INDEX(tblSteps[計画開始日],$BB14),"未入力"))</f>
        <v>46301.0</v>
      </c>
      <c r="H14" s="91">
        <f>IF($BB14="","",IF(ISNUMBER(INDEX(tblSteps[計画終了日],$BB14)),INDEX(tblSteps[計画終了日],$BB14),"未入力"))</f>
        <v>46303.0</v>
      </c>
      <c r="I14" s="91" t="str">
        <f>IF($BB14="","",IF(ISNUMBER(INDEX(tblSteps[完了見込日],$BB14)),INDEX(tblSteps[完了見込日],$BB14),""))</f>
        <v/>
      </c>
      <c r="J14" s="92" t="str">
        <f>IF($BB14="","",INDEX(tblSteps[注意短],$BB14)&amp;"")</f>
        <v/>
      </c>
      <c r="K14" s="93" t="str">
        <f>IF($BB14="","",IF(K$6=$BJ14,"◆",IF(AND(K$6&gt;=$BF14,K$6&lt;=$BG14),IF(AND(K$6&gt;=$BD14,K$6&lt;=$BE14),"実","外"),IF(AND(K$6&gt;=$BD14,K$6&lt;=$BE14),"計",IF(AND(K$6&gt;=$BH14,K$6&lt;=$BI14),"遅","")))))</f>
        <v/>
      </c>
      <c r="L14" s="93" t="str">
        <f>IF($BB14="","",IF(L$6=$BJ14,"◆",IF(AND(L$6&gt;=$BF14,L$6&lt;=$BG14),IF(AND(L$6&gt;=$BD14,L$6&lt;=$BE14),"実","外"),IF(AND(L$6&gt;=$BD14,L$6&lt;=$BE14),"計",IF(AND(L$6&gt;=$BH14,L$6&lt;=$BI14),"遅","")))))</f>
        <v/>
      </c>
      <c r="M14" s="93" t="str">
        <f>IF($BB14="","",IF(M$6=$BJ14,"◆",IF(AND(M$6&gt;=$BF14,M$6&lt;=$BG14),IF(AND(M$6&gt;=$BD14,M$6&lt;=$BE14),"実","外"),IF(AND(M$6&gt;=$BD14,M$6&lt;=$BE14),"計",IF(AND(M$6&gt;=$BH14,M$6&lt;=$BI14),"遅","")))))</f>
        <v/>
      </c>
      <c r="N14" s="93" t="str">
        <f>IF($BB14="","",IF(N$6=$BJ14,"◆",IF(AND(N$6&gt;=$BF14,N$6&lt;=$BG14),IF(AND(N$6&gt;=$BD14,N$6&lt;=$BE14),"実","外"),IF(AND(N$6&gt;=$BD14,N$6&lt;=$BE14),"計",IF(AND(N$6&gt;=$BH14,N$6&lt;=$BI14),"遅","")))))</f>
        <v/>
      </c>
      <c r="O14" s="93" t="str">
        <f>IF($BB14="","",IF(O$6=$BJ14,"◆",IF(AND(O$6&gt;=$BF14,O$6&lt;=$BG14),IF(AND(O$6&gt;=$BD14,O$6&lt;=$BE14),"実","外"),IF(AND(O$6&gt;=$BD14,O$6&lt;=$BE14),"計",IF(AND(O$6&gt;=$BH14,O$6&lt;=$BI14),"遅","")))))</f>
        <v/>
      </c>
      <c r="P14" s="93" t="str">
        <f>IF($BB14="","",IF(P$6=$BJ14,"◆",IF(AND(P$6&gt;=$BF14,P$6&lt;=$BG14),IF(AND(P$6&gt;=$BD14,P$6&lt;=$BE14),"実","外"),IF(AND(P$6&gt;=$BD14,P$6&lt;=$BE14),"計",IF(AND(P$6&gt;=$BH14,P$6&lt;=$BI14),"遅","")))))</f>
        <v/>
      </c>
      <c r="Q14" s="93" t="str">
        <f>IF($BB14="","",IF(Q$6=$BJ14,"◆",IF(AND(Q$6&gt;=$BF14,Q$6&lt;=$BG14),IF(AND(Q$6&gt;=$BD14,Q$6&lt;=$BE14),"実","外"),IF(AND(Q$6&gt;=$BD14,Q$6&lt;=$BE14),"計",IF(AND(Q$6&gt;=$BH14,Q$6&lt;=$BI14),"遅","")))))</f>
        <v/>
      </c>
      <c r="R14" s="93" t="str">
        <f>IF($BB14="","",IF(R$6=$BJ14,"◆",IF(AND(R$6&gt;=$BF14,R$6&lt;=$BG14),IF(AND(R$6&gt;=$BD14,R$6&lt;=$BE14),"実","外"),IF(AND(R$6&gt;=$BD14,R$6&lt;=$BE14),"計",IF(AND(R$6&gt;=$BH14,R$6&lt;=$BI14),"遅","")))))</f>
        <v/>
      </c>
      <c r="S14" s="93" t="str">
        <f>IF($BB14="","",IF(S$6=$BJ14,"◆",IF(AND(S$6&gt;=$BF14,S$6&lt;=$BG14),IF(AND(S$6&gt;=$BD14,S$6&lt;=$BE14),"実","外"),IF(AND(S$6&gt;=$BD14,S$6&lt;=$BE14),"計",IF(AND(S$6&gt;=$BH14,S$6&lt;=$BI14),"遅","")))))</f>
        <v>計</v>
      </c>
      <c r="T14" s="93" t="str">
        <f>IF($BB14="","",IF(T$6=$BJ14,"◆",IF(AND(T$6&gt;=$BF14,T$6&lt;=$BG14),IF(AND(T$6&gt;=$BD14,T$6&lt;=$BE14),"実","外"),IF(AND(T$6&gt;=$BD14,T$6&lt;=$BE14),"計",IF(AND(T$6&gt;=$BH14,T$6&lt;=$BI14),"遅","")))))</f>
        <v>計</v>
      </c>
      <c r="U14" s="93" t="str">
        <f>IF($BB14="","",IF(U$6=$BJ14,"◆",IF(AND(U$6&gt;=$BF14,U$6&lt;=$BG14),IF(AND(U$6&gt;=$BD14,U$6&lt;=$BE14),"実","外"),IF(AND(U$6&gt;=$BD14,U$6&lt;=$BE14),"計",IF(AND(U$6&gt;=$BH14,U$6&lt;=$BI14),"遅","")))))</f>
        <v>計</v>
      </c>
      <c r="V14" s="93" t="str">
        <f>IF($BB14="","",IF(V$6=$BJ14,"◆",IF(AND(V$6&gt;=$BF14,V$6&lt;=$BG14),IF(AND(V$6&gt;=$BD14,V$6&lt;=$BE14),"実","外"),IF(AND(V$6&gt;=$BD14,V$6&lt;=$BE14),"計",IF(AND(V$6&gt;=$BH14,V$6&lt;=$BI14),"遅","")))))</f>
        <v>◆</v>
      </c>
      <c r="W14" s="93" t="str">
        <f>IF($BB14="","",IF(W$6=$BJ14,"◆",IF(AND(W$6&gt;=$BF14,W$6&lt;=$BG14),IF(AND(W$6&gt;=$BD14,W$6&lt;=$BE14),"実","外"),IF(AND(W$6&gt;=$BD14,W$6&lt;=$BE14),"計",IF(AND(W$6&gt;=$BH14,W$6&lt;=$BI14),"遅","")))))</f>
        <v/>
      </c>
      <c r="X14" s="93" t="str">
        <f>IF($BB14="","",IF(X$6=$BJ14,"◆",IF(AND(X$6&gt;=$BF14,X$6&lt;=$BG14),IF(AND(X$6&gt;=$BD14,X$6&lt;=$BE14),"実","外"),IF(AND(X$6&gt;=$BD14,X$6&lt;=$BE14),"計",IF(AND(X$6&gt;=$BH14,X$6&lt;=$BI14),"遅","")))))</f>
        <v/>
      </c>
      <c r="Y14" s="93" t="str">
        <f>IF($BB14="","",IF(Y$6=$BJ14,"◆",IF(AND(Y$6&gt;=$BF14,Y$6&lt;=$BG14),IF(AND(Y$6&gt;=$BD14,Y$6&lt;=$BE14),"実","外"),IF(AND(Y$6&gt;=$BD14,Y$6&lt;=$BE14),"計",IF(AND(Y$6&gt;=$BH14,Y$6&lt;=$BI14),"遅","")))))</f>
        <v/>
      </c>
      <c r="Z14" s="93" t="str">
        <f>IF($BB14="","",IF(Z$6=$BJ14,"◆",IF(AND(Z$6&gt;=$BF14,Z$6&lt;=$BG14),IF(AND(Z$6&gt;=$BD14,Z$6&lt;=$BE14),"実","外"),IF(AND(Z$6&gt;=$BD14,Z$6&lt;=$BE14),"計",IF(AND(Z$6&gt;=$BH14,Z$6&lt;=$BI14),"遅","")))))</f>
        <v/>
      </c>
      <c r="AA14" s="93" t="str">
        <f>IF($BB14="","",IF(AA$6=$BJ14,"◆",IF(AND(AA$6&gt;=$BF14,AA$6&lt;=$BG14),IF(AND(AA$6&gt;=$BD14,AA$6&lt;=$BE14),"実","外"),IF(AND(AA$6&gt;=$BD14,AA$6&lt;=$BE14),"計",IF(AND(AA$6&gt;=$BH14,AA$6&lt;=$BI14),"遅","")))))</f>
        <v/>
      </c>
      <c r="AB14" s="93" t="str">
        <f>IF($BB14="","",IF(AB$6=$BJ14,"◆",IF(AND(AB$6&gt;=$BF14,AB$6&lt;=$BG14),IF(AND(AB$6&gt;=$BD14,AB$6&lt;=$BE14),"実","外"),IF(AND(AB$6&gt;=$BD14,AB$6&lt;=$BE14),"計",IF(AND(AB$6&gt;=$BH14,AB$6&lt;=$BI14),"遅","")))))</f>
        <v/>
      </c>
      <c r="AC14" s="93" t="str">
        <f>IF($BB14="","",IF(AC$6=$BJ14,"◆",IF(AND(AC$6&gt;=$BF14,AC$6&lt;=$BG14),IF(AND(AC$6&gt;=$BD14,AC$6&lt;=$BE14),"実","外"),IF(AND(AC$6&gt;=$BD14,AC$6&lt;=$BE14),"計",IF(AND(AC$6&gt;=$BH14,AC$6&lt;=$BI14),"遅","")))))</f>
        <v/>
      </c>
      <c r="AD14" s="93" t="str">
        <f>IF($BB14="","",IF(AD$6=$BJ14,"◆",IF(AND(AD$6&gt;=$BF14,AD$6&lt;=$BG14),IF(AND(AD$6&gt;=$BD14,AD$6&lt;=$BE14),"実","外"),IF(AND(AD$6&gt;=$BD14,AD$6&lt;=$BE14),"計",IF(AND(AD$6&gt;=$BH14,AD$6&lt;=$BI14),"遅","")))))</f>
        <v/>
      </c>
      <c r="AE14" s="93" t="str">
        <f>IF($BB14="","",IF(AE$6=$BJ14,"◆",IF(AND(AE$6&gt;=$BF14,AE$6&lt;=$BG14),IF(AND(AE$6&gt;=$BD14,AE$6&lt;=$BE14),"実","外"),IF(AND(AE$6&gt;=$BD14,AE$6&lt;=$BE14),"計",IF(AND(AE$6&gt;=$BH14,AE$6&lt;=$BI14),"遅","")))))</f>
        <v/>
      </c>
      <c r="AF14" s="93" t="str">
        <f>IF($BB14="","",IF(AF$6=$BJ14,"◆",IF(AND(AF$6&gt;=$BF14,AF$6&lt;=$BG14),IF(AND(AF$6&gt;=$BD14,AF$6&lt;=$BE14),"実","外"),IF(AND(AF$6&gt;=$BD14,AF$6&lt;=$BE14),"計",IF(AND(AF$6&gt;=$BH14,AF$6&lt;=$BI14),"遅","")))))</f>
        <v/>
      </c>
      <c r="AG14" s="93" t="str">
        <f>IF($BB14="","",IF(AG$6=$BJ14,"◆",IF(AND(AG$6&gt;=$BF14,AG$6&lt;=$BG14),IF(AND(AG$6&gt;=$BD14,AG$6&lt;=$BE14),"実","外"),IF(AND(AG$6&gt;=$BD14,AG$6&lt;=$BE14),"計",IF(AND(AG$6&gt;=$BH14,AG$6&lt;=$BI14),"遅","")))))</f>
        <v/>
      </c>
      <c r="AH14" s="93" t="str">
        <f>IF($BB14="","",IF(AH$6=$BJ14,"◆",IF(AND(AH$6&gt;=$BF14,AH$6&lt;=$BG14),IF(AND(AH$6&gt;=$BD14,AH$6&lt;=$BE14),"実","外"),IF(AND(AH$6&gt;=$BD14,AH$6&lt;=$BE14),"計",IF(AND(AH$6&gt;=$BH14,AH$6&lt;=$BI14),"遅","")))))</f>
        <v/>
      </c>
      <c r="AI14" s="93" t="str">
        <f>IF($BB14="","",IF(AI$6=$BJ14,"◆",IF(AND(AI$6&gt;=$BF14,AI$6&lt;=$BG14),IF(AND(AI$6&gt;=$BD14,AI$6&lt;=$BE14),"実","外"),IF(AND(AI$6&gt;=$BD14,AI$6&lt;=$BE14),"計",IF(AND(AI$6&gt;=$BH14,AI$6&lt;=$BI14),"遅","")))))</f>
        <v/>
      </c>
      <c r="AJ14" s="93" t="str">
        <f>IF($BB14="","",IF(AJ$6=$BJ14,"◆",IF(AND(AJ$6&gt;=$BF14,AJ$6&lt;=$BG14),IF(AND(AJ$6&gt;=$BD14,AJ$6&lt;=$BE14),"実","外"),IF(AND(AJ$6&gt;=$BD14,AJ$6&lt;=$BE14),"計",IF(AND(AJ$6&gt;=$BH14,AJ$6&lt;=$BI14),"遅","")))))</f>
        <v/>
      </c>
      <c r="AK14" s="93" t="str">
        <f>IF($BB14="","",IF(AK$6=$BJ14,"◆",IF(AND(AK$6&gt;=$BF14,AK$6&lt;=$BG14),IF(AND(AK$6&gt;=$BD14,AK$6&lt;=$BE14),"実","外"),IF(AND(AK$6&gt;=$BD14,AK$6&lt;=$BE14),"計",IF(AND(AK$6&gt;=$BH14,AK$6&lt;=$BI14),"遅","")))))</f>
        <v/>
      </c>
      <c r="AL14" s="93" t="str">
        <f>IF($BB14="","",IF(AL$6=$BJ14,"◆",IF(AND(AL$6&gt;=$BF14,AL$6&lt;=$BG14),IF(AND(AL$6&gt;=$BD14,AL$6&lt;=$BE14),"実","外"),IF(AND(AL$6&gt;=$BD14,AL$6&lt;=$BE14),"計",IF(AND(AL$6&gt;=$BH14,AL$6&lt;=$BI14),"遅","")))))</f>
        <v/>
      </c>
      <c r="AM14" s="93" t="str">
        <f>IF($BB14="","",IF(AM$6=$BJ14,"◆",IF(AND(AM$6&gt;=$BF14,AM$6&lt;=$BG14),IF(AND(AM$6&gt;=$BD14,AM$6&lt;=$BE14),"実","外"),IF(AND(AM$6&gt;=$BD14,AM$6&lt;=$BE14),"計",IF(AND(AM$6&gt;=$BH14,AM$6&lt;=$BI14),"遅","")))))</f>
        <v/>
      </c>
      <c r="AN14" s="93" t="str">
        <f>IF($BB14="","",IF(AN$6=$BJ14,"◆",IF(AND(AN$6&gt;=$BF14,AN$6&lt;=$BG14),IF(AND(AN$6&gt;=$BD14,AN$6&lt;=$BE14),"実","外"),IF(AND(AN$6&gt;=$BD14,AN$6&lt;=$BE14),"計",IF(AND(AN$6&gt;=$BH14,AN$6&lt;=$BI14),"遅","")))))</f>
        <v/>
      </c>
      <c r="AO14" s="93" t="str">
        <f>IF($BB14="","",IF(AO$6=$BJ14,"◆",IF(AND(AO$6&gt;=$BF14,AO$6&lt;=$BG14),IF(AND(AO$6&gt;=$BD14,AO$6&lt;=$BE14),"実","外"),IF(AND(AO$6&gt;=$BD14,AO$6&lt;=$BE14),"計",IF(AND(AO$6&gt;=$BH14,AO$6&lt;=$BI14),"遅","")))))</f>
        <v/>
      </c>
      <c r="AP14" s="93" t="str">
        <f>IF($BB14="","",IF(AP$6=$BJ14,"◆",IF(AND(AP$6&gt;=$BF14,AP$6&lt;=$BG14),IF(AND(AP$6&gt;=$BD14,AP$6&lt;=$BE14),"実","外"),IF(AND(AP$6&gt;=$BD14,AP$6&lt;=$BE14),"計",IF(AND(AP$6&gt;=$BH14,AP$6&lt;=$BI14),"遅","")))))</f>
        <v/>
      </c>
      <c r="AQ14" s="93" t="str">
        <f>IF($BB14="","",IF(AQ$6=$BJ14,"◆",IF(AND(AQ$6&gt;=$BF14,AQ$6&lt;=$BG14),IF(AND(AQ$6&gt;=$BD14,AQ$6&lt;=$BE14),"実","外"),IF(AND(AQ$6&gt;=$BD14,AQ$6&lt;=$BE14),"計",IF(AND(AQ$6&gt;=$BH14,AQ$6&lt;=$BI14),"遅","")))))</f>
        <v/>
      </c>
      <c r="AR14" s="93" t="str">
        <f>IF($BB14="","",IF(AR$6=$BJ14,"◆",IF(AND(AR$6&gt;=$BF14,AR$6&lt;=$BG14),IF(AND(AR$6&gt;=$BD14,AR$6&lt;=$BE14),"実","外"),IF(AND(AR$6&gt;=$BD14,AR$6&lt;=$BE14),"計",IF(AND(AR$6&gt;=$BH14,AR$6&lt;=$BI14),"遅","")))))</f>
        <v/>
      </c>
      <c r="AS14" s="93" t="str">
        <f>IF($BB14="","",IF(AS$6=$BJ14,"◆",IF(AND(AS$6&gt;=$BF14,AS$6&lt;=$BG14),IF(AND(AS$6&gt;=$BD14,AS$6&lt;=$BE14),"実","外"),IF(AND(AS$6&gt;=$BD14,AS$6&lt;=$BE14),"計",IF(AND(AS$6&gt;=$BH14,AS$6&lt;=$BI14),"遅","")))))</f>
        <v/>
      </c>
      <c r="AT14" s="93" t="str">
        <f>IF($BB14="","",IF(AT$6=$BJ14,"◆",IF(AND(AT$6&gt;=$BF14,AT$6&lt;=$BG14),IF(AND(AT$6&gt;=$BD14,AT$6&lt;=$BE14),"実","外"),IF(AND(AT$6&gt;=$BD14,AT$6&lt;=$BE14),"計",IF(AND(AT$6&gt;=$BH14,AT$6&lt;=$BI14),"遅","")))))</f>
        <v/>
      </c>
      <c r="AU14" s="93" t="str">
        <f>IF($BB14="","",IF(AU$6=$BJ14,"◆",IF(AND(AU$6&gt;=$BF14,AU$6&lt;=$BG14),IF(AND(AU$6&gt;=$BD14,AU$6&lt;=$BE14),"実","外"),IF(AND(AU$6&gt;=$BD14,AU$6&lt;=$BE14),"計",IF(AND(AU$6&gt;=$BH14,AU$6&lt;=$BI14),"遅","")))))</f>
        <v/>
      </c>
      <c r="AV14" s="93" t="str">
        <f>IF($BB14="","",IF(AV$6=$BJ14,"◆",IF(AND(AV$6&gt;=$BF14,AV$6&lt;=$BG14),IF(AND(AV$6&gt;=$BD14,AV$6&lt;=$BE14),"実","外"),IF(AND(AV$6&gt;=$BD14,AV$6&lt;=$BE14),"計",IF(AND(AV$6&gt;=$BH14,AV$6&lt;=$BI14),"遅","")))))</f>
        <v/>
      </c>
      <c r="AW14" s="93" t="str">
        <f>IF($BB14="","",IF(AW$6=$BJ14,"◆",IF(AND(AW$6&gt;=$BF14,AW$6&lt;=$BG14),IF(AND(AW$6&gt;=$BD14,AW$6&lt;=$BE14),"実","外"),IF(AND(AW$6&gt;=$BD14,AW$6&lt;=$BE14),"計",IF(AND(AW$6&gt;=$BH14,AW$6&lt;=$BI14),"遅","")))))</f>
        <v/>
      </c>
      <c r="AX14" s="93" t="str">
        <f>IF($BB14="","",IF(AX$6=$BJ14,"◆",IF(AND(AX$6&gt;=$BF14,AX$6&lt;=$BG14),IF(AND(AX$6&gt;=$BD14,AX$6&lt;=$BE14),"実","外"),IF(AND(AX$6&gt;=$BD14,AX$6&lt;=$BE14),"計",IF(AND(AX$6&gt;=$BH14,AX$6&lt;=$BI14),"遅","")))))</f>
        <v/>
      </c>
      <c r="AY14" s="93" t="str">
        <f>IF($BB14="","",IF(AY$6=$BJ14,"◆",IF(AND(AY$6&gt;=$BF14,AY$6&lt;=$BG14),IF(AND(AY$6&gt;=$BD14,AY$6&lt;=$BE14),"実","外"),IF(AND(AY$6&gt;=$BD14,AY$6&lt;=$BE14),"計",IF(AND(AY$6&gt;=$BH14,AY$6&lt;=$BI14),"遅","")))))</f>
        <v/>
      </c>
      <c r="AZ14" s="93" t="str">
        <f>IF($BB14="","",IF(AZ$6=$BJ14,"◆",IF(AND(AZ$6&gt;=$BF14,AZ$6&lt;=$BG14),IF(AND(AZ$6&gt;=$BD14,AZ$6&lt;=$BE14),"実","外"),IF(AND(AZ$6&gt;=$BD14,AZ$6&lt;=$BE14),"計",IF(AND(AZ$6&gt;=$BH14,AZ$6&lt;=$BI14),"遅","")))))</f>
        <v/>
      </c>
      <c r="BB14">
        <f>IF(7&gt;COUNTIF(tblSteps[日別対象],1),"",IFERROR(MATCH(7,tblSteps[日別順位],0),""))</f>
        <v>9</v>
      </c>
      <c r="BC14" t="str">
        <f>IF($BB14="","",INDEX(tblSteps[案件ID],$BB14)&amp;"")</f>
        <v>A0020</v>
      </c>
      <c r="BD14">
        <f>IF($BB14="","",INDEX(tblSteps[計開],$BB14))</f>
        <v>46301</v>
      </c>
      <c r="BE14">
        <f>IF($BB14="","",INDEX(tblSteps[計終],$BB14))</f>
        <v>46303</v>
      </c>
      <c r="BF14">
        <f>IF($BB14="","",INDEX(tblSteps[実開],$BB14))</f>
        <v>1</v>
      </c>
      <c r="BG14">
        <f>IF($BB14="","",INDEX(tblSteps[実終],$BB14))</f>
        <v>0</v>
      </c>
      <c r="BH14">
        <f>IF($BB14="","",INDEX(tblSteps[遅開],$BB14))</f>
        <v>46304</v>
      </c>
      <c r="BI14">
        <f>IF($BB14="","",INDEX(tblSteps[遅終],$BB14))</f>
        <v>0</v>
      </c>
      <c r="BJ14">
        <f>IF($BB14="","",INDEX(tblSteps[納期値],$BB14))</f>
        <v>46304</v>
      </c>
    </row>
    <row r="15" ht="18" customHeight="1">
      <c r="A15" s="89" t="str">
        <f>IF($BB15="","",INDEX(tblSteps[工程ID],$BB15)&amp;"")</f>
        <v>S0003</v>
      </c>
      <c r="B15" s="88" t="str">
        <f>IF($BB15="","",IF($BC15=$BC14,"",$BC15&amp;" "&amp;INDEX(tblSteps[案件名],$BB15)))</f>
        <v>A0008 工作機械の搬入・据付</v>
      </c>
      <c r="C15" s="88" t="str">
        <f>IF($BB15="","",INDEX(tblSteps[工程名],$BB15)&amp;"")</f>
        <v>基礎工事</v>
      </c>
      <c r="D15" s="89" t="str">
        <f>IF($BB15="","",INDEX(tblSteps[担当],$BB15)&amp;"")</f>
        <v>協力会社A</v>
      </c>
      <c r="E15" s="89" t="str">
        <f>IF($BB15="","",INDEX(tblSteps[状態],$BB15)&amp;"")</f>
        <v>進行中</v>
      </c>
      <c r="F15" s="90">
        <f>IF($BB15="","",IF(ISNUMBER(INDEX(tblSteps[進捗率],$BB15)),INDEX(tblSteps[進捗率],$BB15),""))</f>
        <v>0.6</v>
      </c>
      <c r="G15" s="91">
        <f>IF($BB15="","",IF(ISNUMBER(INDEX(tblSteps[計画開始日],$BB15)),INDEX(tblSteps[計画開始日],$BB15),"未入力"))</f>
        <v>46293.0</v>
      </c>
      <c r="H15" s="91">
        <f>IF($BB15="","",IF(ISNUMBER(INDEX(tblSteps[計画終了日],$BB15)),INDEX(tblSteps[計画終了日],$BB15),"未入力"))</f>
        <v>46302.0</v>
      </c>
      <c r="I15" s="91">
        <f>IF($BB15="","",IF(ISNUMBER(INDEX(tblSteps[完了見込日],$BB15)),INDEX(tblSteps[完了見込日],$BB15),""))</f>
        <v>46304.0</v>
      </c>
      <c r="J15" s="92" t="str">
        <f>IF($BB15="","",INDEX(tblSteps[注意短],$BB15)&amp;"")</f>
        <v>見込+2日</v>
      </c>
      <c r="K15" s="93" t="str">
        <f>IF($BB15="","",IF(K$6=$BJ15,"◆",IF(AND(K$6&gt;=$BF15,K$6&lt;=$BG15),IF(AND(K$6&gt;=$BD15,K$6&lt;=$BE15),"実","外"),IF(AND(K$6&gt;=$BD15,K$6&lt;=$BE15),"計",IF(AND(K$6&gt;=$BH15,K$6&lt;=$BI15),"遅","")))))</f>
        <v>実</v>
      </c>
      <c r="L15" s="93" t="str">
        <f>IF($BB15="","",IF(L$6=$BJ15,"◆",IF(AND(L$6&gt;=$BF15,L$6&lt;=$BG15),IF(AND(L$6&gt;=$BD15,L$6&lt;=$BE15),"実","外"),IF(AND(L$6&gt;=$BD15,L$6&lt;=$BE15),"計",IF(AND(L$6&gt;=$BH15,L$6&lt;=$BI15),"遅","")))))</f>
        <v>実</v>
      </c>
      <c r="M15" s="93" t="str">
        <f>IF($BB15="","",IF(M$6=$BJ15,"◆",IF(AND(M$6&gt;=$BF15,M$6&lt;=$BG15),IF(AND(M$6&gt;=$BD15,M$6&lt;=$BE15),"実","外"),IF(AND(M$6&gt;=$BD15,M$6&lt;=$BE15),"計",IF(AND(M$6&gt;=$BH15,M$6&lt;=$BI15),"遅","")))))</f>
        <v>実</v>
      </c>
      <c r="N15" s="93" t="str">
        <f>IF($BB15="","",IF(N$6=$BJ15,"◆",IF(AND(N$6&gt;=$BF15,N$6&lt;=$BG15),IF(AND(N$6&gt;=$BD15,N$6&lt;=$BE15),"実","外"),IF(AND(N$6&gt;=$BD15,N$6&lt;=$BE15),"計",IF(AND(N$6&gt;=$BH15,N$6&lt;=$BI15),"遅","")))))</f>
        <v>実</v>
      </c>
      <c r="O15" s="93" t="str">
        <f>IF($BB15="","",IF(O$6=$BJ15,"◆",IF(AND(O$6&gt;=$BF15,O$6&lt;=$BG15),IF(AND(O$6&gt;=$BD15,O$6&lt;=$BE15),"実","外"),IF(AND(O$6&gt;=$BD15,O$6&lt;=$BE15),"計",IF(AND(O$6&gt;=$BH15,O$6&lt;=$BI15),"遅","")))))</f>
        <v>実</v>
      </c>
      <c r="P15" s="93" t="str">
        <f>IF($BB15="","",IF(P$6=$BJ15,"◆",IF(AND(P$6&gt;=$BF15,P$6&lt;=$BG15),IF(AND(P$6&gt;=$BD15,P$6&lt;=$BE15),"実","外"),IF(AND(P$6&gt;=$BD15,P$6&lt;=$BE15),"計",IF(AND(P$6&gt;=$BH15,P$6&lt;=$BI15),"遅","")))))</f>
        <v>実</v>
      </c>
      <c r="Q15" s="93" t="str">
        <f>IF($BB15="","",IF(Q$6=$BJ15,"◆",IF(AND(Q$6&gt;=$BF15,Q$6&lt;=$BG15),IF(AND(Q$6&gt;=$BD15,Q$6&lt;=$BE15),"実","外"),IF(AND(Q$6&gt;=$BD15,Q$6&lt;=$BE15),"計",IF(AND(Q$6&gt;=$BH15,Q$6&lt;=$BI15),"遅","")))))</f>
        <v>実</v>
      </c>
      <c r="R15" s="93" t="str">
        <f>IF($BB15="","",IF(R$6=$BJ15,"◆",IF(AND(R$6&gt;=$BF15,R$6&lt;=$BG15),IF(AND(R$6&gt;=$BD15,R$6&lt;=$BE15),"実","外"),IF(AND(R$6&gt;=$BD15,R$6&lt;=$BE15),"計",IF(AND(R$6&gt;=$BH15,R$6&lt;=$BI15),"遅","")))))</f>
        <v>実</v>
      </c>
      <c r="S15" s="93" t="str">
        <f>IF($BB15="","",IF(S$6=$BJ15,"◆",IF(AND(S$6&gt;=$BF15,S$6&lt;=$BG15),IF(AND(S$6&gt;=$BD15,S$6&lt;=$BE15),"実","外"),IF(AND(S$6&gt;=$BD15,S$6&lt;=$BE15),"計",IF(AND(S$6&gt;=$BH15,S$6&lt;=$BI15),"遅","")))))</f>
        <v>計</v>
      </c>
      <c r="T15" s="93" t="str">
        <f>IF($BB15="","",IF(T$6=$BJ15,"◆",IF(AND(T$6&gt;=$BF15,T$6&lt;=$BG15),IF(AND(T$6&gt;=$BD15,T$6&lt;=$BE15),"実","外"),IF(AND(T$6&gt;=$BD15,T$6&lt;=$BE15),"計",IF(AND(T$6&gt;=$BH15,T$6&lt;=$BI15),"遅","")))))</f>
        <v>計</v>
      </c>
      <c r="U15" s="93" t="str">
        <f>IF($BB15="","",IF(U$6=$BJ15,"◆",IF(AND(U$6&gt;=$BF15,U$6&lt;=$BG15),IF(AND(U$6&gt;=$BD15,U$6&lt;=$BE15),"実","外"),IF(AND(U$6&gt;=$BD15,U$6&lt;=$BE15),"計",IF(AND(U$6&gt;=$BH15,U$6&lt;=$BI15),"遅","")))))</f>
        <v>遅</v>
      </c>
      <c r="V15" s="93" t="str">
        <f>IF($BB15="","",IF(V$6=$BJ15,"◆",IF(AND(V$6&gt;=$BF15,V$6&lt;=$BG15),IF(AND(V$6&gt;=$BD15,V$6&lt;=$BE15),"実","外"),IF(AND(V$6&gt;=$BD15,V$6&lt;=$BE15),"計",IF(AND(V$6&gt;=$BH15,V$6&lt;=$BI15),"遅","")))))</f>
        <v>遅</v>
      </c>
      <c r="W15" s="93" t="str">
        <f>IF($BB15="","",IF(W$6=$BJ15,"◆",IF(AND(W$6&gt;=$BF15,W$6&lt;=$BG15),IF(AND(W$6&gt;=$BD15,W$6&lt;=$BE15),"実","外"),IF(AND(W$6&gt;=$BD15,W$6&lt;=$BE15),"計",IF(AND(W$6&gt;=$BH15,W$6&lt;=$BI15),"遅","")))))</f>
        <v/>
      </c>
      <c r="X15" s="93" t="str">
        <f>IF($BB15="","",IF(X$6=$BJ15,"◆",IF(AND(X$6&gt;=$BF15,X$6&lt;=$BG15),IF(AND(X$6&gt;=$BD15,X$6&lt;=$BE15),"実","外"),IF(AND(X$6&gt;=$BD15,X$6&lt;=$BE15),"計",IF(AND(X$6&gt;=$BH15,X$6&lt;=$BI15),"遅","")))))</f>
        <v/>
      </c>
      <c r="Y15" s="93" t="str">
        <f>IF($BB15="","",IF(Y$6=$BJ15,"◆",IF(AND(Y$6&gt;=$BF15,Y$6&lt;=$BG15),IF(AND(Y$6&gt;=$BD15,Y$6&lt;=$BE15),"実","外"),IF(AND(Y$6&gt;=$BD15,Y$6&lt;=$BE15),"計",IF(AND(Y$6&gt;=$BH15,Y$6&lt;=$BI15),"遅","")))))</f>
        <v/>
      </c>
      <c r="Z15" s="93" t="str">
        <f>IF($BB15="","",IF(Z$6=$BJ15,"◆",IF(AND(Z$6&gt;=$BF15,Z$6&lt;=$BG15),IF(AND(Z$6&gt;=$BD15,Z$6&lt;=$BE15),"実","外"),IF(AND(Z$6&gt;=$BD15,Z$6&lt;=$BE15),"計",IF(AND(Z$6&gt;=$BH15,Z$6&lt;=$BI15),"遅","")))))</f>
        <v/>
      </c>
      <c r="AA15" s="93" t="str">
        <f>IF($BB15="","",IF(AA$6=$BJ15,"◆",IF(AND(AA$6&gt;=$BF15,AA$6&lt;=$BG15),IF(AND(AA$6&gt;=$BD15,AA$6&lt;=$BE15),"実","外"),IF(AND(AA$6&gt;=$BD15,AA$6&lt;=$BE15),"計",IF(AND(AA$6&gt;=$BH15,AA$6&lt;=$BI15),"遅","")))))</f>
        <v/>
      </c>
      <c r="AB15" s="93" t="str">
        <f>IF($BB15="","",IF(AB$6=$BJ15,"◆",IF(AND(AB$6&gt;=$BF15,AB$6&lt;=$BG15),IF(AND(AB$6&gt;=$BD15,AB$6&lt;=$BE15),"実","外"),IF(AND(AB$6&gt;=$BD15,AB$6&lt;=$BE15),"計",IF(AND(AB$6&gt;=$BH15,AB$6&lt;=$BI15),"遅","")))))</f>
        <v/>
      </c>
      <c r="AC15" s="93" t="str">
        <f>IF($BB15="","",IF(AC$6=$BJ15,"◆",IF(AND(AC$6&gt;=$BF15,AC$6&lt;=$BG15),IF(AND(AC$6&gt;=$BD15,AC$6&lt;=$BE15),"実","外"),IF(AND(AC$6&gt;=$BD15,AC$6&lt;=$BE15),"計",IF(AND(AC$6&gt;=$BH15,AC$6&lt;=$BI15),"遅","")))))</f>
        <v>◆</v>
      </c>
      <c r="AD15" s="93" t="str">
        <f>IF($BB15="","",IF(AD$6=$BJ15,"◆",IF(AND(AD$6&gt;=$BF15,AD$6&lt;=$BG15),IF(AND(AD$6&gt;=$BD15,AD$6&lt;=$BE15),"実","外"),IF(AND(AD$6&gt;=$BD15,AD$6&lt;=$BE15),"計",IF(AND(AD$6&gt;=$BH15,AD$6&lt;=$BI15),"遅","")))))</f>
        <v/>
      </c>
      <c r="AE15" s="93" t="str">
        <f>IF($BB15="","",IF(AE$6=$BJ15,"◆",IF(AND(AE$6&gt;=$BF15,AE$6&lt;=$BG15),IF(AND(AE$6&gt;=$BD15,AE$6&lt;=$BE15),"実","外"),IF(AND(AE$6&gt;=$BD15,AE$6&lt;=$BE15),"計",IF(AND(AE$6&gt;=$BH15,AE$6&lt;=$BI15),"遅","")))))</f>
        <v/>
      </c>
      <c r="AF15" s="93" t="str">
        <f>IF($BB15="","",IF(AF$6=$BJ15,"◆",IF(AND(AF$6&gt;=$BF15,AF$6&lt;=$BG15),IF(AND(AF$6&gt;=$BD15,AF$6&lt;=$BE15),"実","外"),IF(AND(AF$6&gt;=$BD15,AF$6&lt;=$BE15),"計",IF(AND(AF$6&gt;=$BH15,AF$6&lt;=$BI15),"遅","")))))</f>
        <v/>
      </c>
      <c r="AG15" s="93" t="str">
        <f>IF($BB15="","",IF(AG$6=$BJ15,"◆",IF(AND(AG$6&gt;=$BF15,AG$6&lt;=$BG15),IF(AND(AG$6&gt;=$BD15,AG$6&lt;=$BE15),"実","外"),IF(AND(AG$6&gt;=$BD15,AG$6&lt;=$BE15),"計",IF(AND(AG$6&gt;=$BH15,AG$6&lt;=$BI15),"遅","")))))</f>
        <v/>
      </c>
      <c r="AH15" s="93" t="str">
        <f>IF($BB15="","",IF(AH$6=$BJ15,"◆",IF(AND(AH$6&gt;=$BF15,AH$6&lt;=$BG15),IF(AND(AH$6&gt;=$BD15,AH$6&lt;=$BE15),"実","外"),IF(AND(AH$6&gt;=$BD15,AH$6&lt;=$BE15),"計",IF(AND(AH$6&gt;=$BH15,AH$6&lt;=$BI15),"遅","")))))</f>
        <v/>
      </c>
      <c r="AI15" s="93" t="str">
        <f>IF($BB15="","",IF(AI$6=$BJ15,"◆",IF(AND(AI$6&gt;=$BF15,AI$6&lt;=$BG15),IF(AND(AI$6&gt;=$BD15,AI$6&lt;=$BE15),"実","外"),IF(AND(AI$6&gt;=$BD15,AI$6&lt;=$BE15),"計",IF(AND(AI$6&gt;=$BH15,AI$6&lt;=$BI15),"遅","")))))</f>
        <v/>
      </c>
      <c r="AJ15" s="93" t="str">
        <f>IF($BB15="","",IF(AJ$6=$BJ15,"◆",IF(AND(AJ$6&gt;=$BF15,AJ$6&lt;=$BG15),IF(AND(AJ$6&gt;=$BD15,AJ$6&lt;=$BE15),"実","外"),IF(AND(AJ$6&gt;=$BD15,AJ$6&lt;=$BE15),"計",IF(AND(AJ$6&gt;=$BH15,AJ$6&lt;=$BI15),"遅","")))))</f>
        <v/>
      </c>
      <c r="AK15" s="93" t="str">
        <f>IF($BB15="","",IF(AK$6=$BJ15,"◆",IF(AND(AK$6&gt;=$BF15,AK$6&lt;=$BG15),IF(AND(AK$6&gt;=$BD15,AK$6&lt;=$BE15),"実","外"),IF(AND(AK$6&gt;=$BD15,AK$6&lt;=$BE15),"計",IF(AND(AK$6&gt;=$BH15,AK$6&lt;=$BI15),"遅","")))))</f>
        <v/>
      </c>
      <c r="AL15" s="93" t="str">
        <f>IF($BB15="","",IF(AL$6=$BJ15,"◆",IF(AND(AL$6&gt;=$BF15,AL$6&lt;=$BG15),IF(AND(AL$6&gt;=$BD15,AL$6&lt;=$BE15),"実","外"),IF(AND(AL$6&gt;=$BD15,AL$6&lt;=$BE15),"計",IF(AND(AL$6&gt;=$BH15,AL$6&lt;=$BI15),"遅","")))))</f>
        <v/>
      </c>
      <c r="AM15" s="93" t="str">
        <f>IF($BB15="","",IF(AM$6=$BJ15,"◆",IF(AND(AM$6&gt;=$BF15,AM$6&lt;=$BG15),IF(AND(AM$6&gt;=$BD15,AM$6&lt;=$BE15),"実","外"),IF(AND(AM$6&gt;=$BD15,AM$6&lt;=$BE15),"計",IF(AND(AM$6&gt;=$BH15,AM$6&lt;=$BI15),"遅","")))))</f>
        <v/>
      </c>
      <c r="AN15" s="93" t="str">
        <f>IF($BB15="","",IF(AN$6=$BJ15,"◆",IF(AND(AN$6&gt;=$BF15,AN$6&lt;=$BG15),IF(AND(AN$6&gt;=$BD15,AN$6&lt;=$BE15),"実","外"),IF(AND(AN$6&gt;=$BD15,AN$6&lt;=$BE15),"計",IF(AND(AN$6&gt;=$BH15,AN$6&lt;=$BI15),"遅","")))))</f>
        <v/>
      </c>
      <c r="AO15" s="93" t="str">
        <f>IF($BB15="","",IF(AO$6=$BJ15,"◆",IF(AND(AO$6&gt;=$BF15,AO$6&lt;=$BG15),IF(AND(AO$6&gt;=$BD15,AO$6&lt;=$BE15),"実","外"),IF(AND(AO$6&gt;=$BD15,AO$6&lt;=$BE15),"計",IF(AND(AO$6&gt;=$BH15,AO$6&lt;=$BI15),"遅","")))))</f>
        <v/>
      </c>
      <c r="AP15" s="93" t="str">
        <f>IF($BB15="","",IF(AP$6=$BJ15,"◆",IF(AND(AP$6&gt;=$BF15,AP$6&lt;=$BG15),IF(AND(AP$6&gt;=$BD15,AP$6&lt;=$BE15),"実","外"),IF(AND(AP$6&gt;=$BD15,AP$6&lt;=$BE15),"計",IF(AND(AP$6&gt;=$BH15,AP$6&lt;=$BI15),"遅","")))))</f>
        <v/>
      </c>
      <c r="AQ15" s="93" t="str">
        <f>IF($BB15="","",IF(AQ$6=$BJ15,"◆",IF(AND(AQ$6&gt;=$BF15,AQ$6&lt;=$BG15),IF(AND(AQ$6&gt;=$BD15,AQ$6&lt;=$BE15),"実","外"),IF(AND(AQ$6&gt;=$BD15,AQ$6&lt;=$BE15),"計",IF(AND(AQ$6&gt;=$BH15,AQ$6&lt;=$BI15),"遅","")))))</f>
        <v/>
      </c>
      <c r="AR15" s="93" t="str">
        <f>IF($BB15="","",IF(AR$6=$BJ15,"◆",IF(AND(AR$6&gt;=$BF15,AR$6&lt;=$BG15),IF(AND(AR$6&gt;=$BD15,AR$6&lt;=$BE15),"実","外"),IF(AND(AR$6&gt;=$BD15,AR$6&lt;=$BE15),"計",IF(AND(AR$6&gt;=$BH15,AR$6&lt;=$BI15),"遅","")))))</f>
        <v/>
      </c>
      <c r="AS15" s="93" t="str">
        <f>IF($BB15="","",IF(AS$6=$BJ15,"◆",IF(AND(AS$6&gt;=$BF15,AS$6&lt;=$BG15),IF(AND(AS$6&gt;=$BD15,AS$6&lt;=$BE15),"実","外"),IF(AND(AS$6&gt;=$BD15,AS$6&lt;=$BE15),"計",IF(AND(AS$6&gt;=$BH15,AS$6&lt;=$BI15),"遅","")))))</f>
        <v/>
      </c>
      <c r="AT15" s="93" t="str">
        <f>IF($BB15="","",IF(AT$6=$BJ15,"◆",IF(AND(AT$6&gt;=$BF15,AT$6&lt;=$BG15),IF(AND(AT$6&gt;=$BD15,AT$6&lt;=$BE15),"実","外"),IF(AND(AT$6&gt;=$BD15,AT$6&lt;=$BE15),"計",IF(AND(AT$6&gt;=$BH15,AT$6&lt;=$BI15),"遅","")))))</f>
        <v/>
      </c>
      <c r="AU15" s="93" t="str">
        <f>IF($BB15="","",IF(AU$6=$BJ15,"◆",IF(AND(AU$6&gt;=$BF15,AU$6&lt;=$BG15),IF(AND(AU$6&gt;=$BD15,AU$6&lt;=$BE15),"実","外"),IF(AND(AU$6&gt;=$BD15,AU$6&lt;=$BE15),"計",IF(AND(AU$6&gt;=$BH15,AU$6&lt;=$BI15),"遅","")))))</f>
        <v/>
      </c>
      <c r="AV15" s="93" t="str">
        <f>IF($BB15="","",IF(AV$6=$BJ15,"◆",IF(AND(AV$6&gt;=$BF15,AV$6&lt;=$BG15),IF(AND(AV$6&gt;=$BD15,AV$6&lt;=$BE15),"実","外"),IF(AND(AV$6&gt;=$BD15,AV$6&lt;=$BE15),"計",IF(AND(AV$6&gt;=$BH15,AV$6&lt;=$BI15),"遅","")))))</f>
        <v/>
      </c>
      <c r="AW15" s="93" t="str">
        <f>IF($BB15="","",IF(AW$6=$BJ15,"◆",IF(AND(AW$6&gt;=$BF15,AW$6&lt;=$BG15),IF(AND(AW$6&gt;=$BD15,AW$6&lt;=$BE15),"実","外"),IF(AND(AW$6&gt;=$BD15,AW$6&lt;=$BE15),"計",IF(AND(AW$6&gt;=$BH15,AW$6&lt;=$BI15),"遅","")))))</f>
        <v/>
      </c>
      <c r="AX15" s="93" t="str">
        <f>IF($BB15="","",IF(AX$6=$BJ15,"◆",IF(AND(AX$6&gt;=$BF15,AX$6&lt;=$BG15),IF(AND(AX$6&gt;=$BD15,AX$6&lt;=$BE15),"実","外"),IF(AND(AX$6&gt;=$BD15,AX$6&lt;=$BE15),"計",IF(AND(AX$6&gt;=$BH15,AX$6&lt;=$BI15),"遅","")))))</f>
        <v/>
      </c>
      <c r="AY15" s="93" t="str">
        <f>IF($BB15="","",IF(AY$6=$BJ15,"◆",IF(AND(AY$6&gt;=$BF15,AY$6&lt;=$BG15),IF(AND(AY$6&gt;=$BD15,AY$6&lt;=$BE15),"実","外"),IF(AND(AY$6&gt;=$BD15,AY$6&lt;=$BE15),"計",IF(AND(AY$6&gt;=$BH15,AY$6&lt;=$BI15),"遅","")))))</f>
        <v/>
      </c>
      <c r="AZ15" s="93" t="str">
        <f>IF($BB15="","",IF(AZ$6=$BJ15,"◆",IF(AND(AZ$6&gt;=$BF15,AZ$6&lt;=$BG15),IF(AND(AZ$6&gt;=$BD15,AZ$6&lt;=$BE15),"実","外"),IF(AND(AZ$6&gt;=$BD15,AZ$6&lt;=$BE15),"計",IF(AND(AZ$6&gt;=$BH15,AZ$6&lt;=$BI15),"遅","")))))</f>
        <v/>
      </c>
      <c r="BB15">
        <f>IF(8&gt;COUNTIF(tblSteps[日別対象],1),"",IFERROR(MATCH(8,tblSteps[日別順位],0),""))</f>
        <v>3</v>
      </c>
      <c r="BC15" t="str">
        <f>IF($BB15="","",INDEX(tblSteps[案件ID],$BB15)&amp;"")</f>
        <v>A0008</v>
      </c>
      <c r="BD15">
        <f>IF($BB15="","",INDEX(tblSteps[計開],$BB15))</f>
        <v>46293</v>
      </c>
      <c r="BE15">
        <f>IF($BB15="","",INDEX(tblSteps[計終],$BB15))</f>
        <v>46302</v>
      </c>
      <c r="BF15">
        <f>IF($BB15="","",INDEX(tblSteps[実開],$BB15))</f>
        <v>46293</v>
      </c>
      <c r="BG15">
        <f>IF($BB15="","",INDEX(tblSteps[実終],$BB15))</f>
        <v>46300</v>
      </c>
      <c r="BH15">
        <f>IF($BB15="","",INDEX(tblSteps[遅開],$BB15))</f>
        <v>46303</v>
      </c>
      <c r="BI15">
        <f>IF($BB15="","",INDEX(tblSteps[遅終],$BB15))</f>
        <v>46304</v>
      </c>
      <c r="BJ15">
        <f>IF($BB15="","",INDEX(tblSteps[納期値],$BB15))</f>
        <v>46311</v>
      </c>
    </row>
    <row r="16" ht="18" customHeight="1">
      <c r="A16" s="89" t="str">
        <f>IF($BB16="","",INDEX(tblSteps[工程ID],$BB16)&amp;"")</f>
        <v>S0027</v>
      </c>
      <c r="B16" s="88" t="str">
        <f>IF($BB16="","",IF($BC16=$BC15,"",$BC16&amp;" "&amp;INDEX(tblSteps[案件名],$BB16)))</f>
        <v/>
      </c>
      <c r="C16" s="88" t="str">
        <f>IF($BB16="","",INDEX(tblSteps[工程名],$BB16)&amp;"")</f>
        <v>基礎の出来形確認</v>
      </c>
      <c r="D16" s="89" t="str">
        <f>IF($BB16="","",INDEX(tblSteps[担当],$BB16)&amp;"")</f>
        <v>田中</v>
      </c>
      <c r="E16" s="89" t="str">
        <f>IF($BB16="","",INDEX(tblSteps[状態],$BB16)&amp;"")</f>
        <v>未着手</v>
      </c>
      <c r="F16" s="90">
        <f>IF($BB16="","",IF(ISNUMBER(INDEX(tblSteps[進捗率],$BB16)),INDEX(tblSteps[進捗率],$BB16),""))</f>
        <v>0</v>
      </c>
      <c r="G16" s="91">
        <f>IF($BB16="","",IF(ISNUMBER(INDEX(tblSteps[計画開始日],$BB16)),INDEX(tblSteps[計画開始日],$BB16),"未入力"))</f>
        <v>46300.0</v>
      </c>
      <c r="H16" s="91">
        <f>IF($BB16="","",IF(ISNUMBER(INDEX(tblSteps[計画終了日],$BB16)),INDEX(tblSteps[計画終了日],$BB16),"未入力"))</f>
        <v>46300.0</v>
      </c>
      <c r="I16" s="91" t="str">
        <f>IF($BB16="","",IF(ISNUMBER(INDEX(tblSteps[完了見込日],$BB16)),INDEX(tblSteps[完了見込日],$BB16),""))</f>
        <v/>
      </c>
      <c r="J16" s="92" t="str">
        <f>IF($BB16="","",INDEX(tblSteps[注意短],$BB16)&amp;"")</f>
        <v/>
      </c>
      <c r="K16" s="93" t="str">
        <f>IF($BB16="","",IF(K$6=$BJ16,"◆",IF(AND(K$6&gt;=$BF16,K$6&lt;=$BG16),IF(AND(K$6&gt;=$BD16,K$6&lt;=$BE16),"実","外"),IF(AND(K$6&gt;=$BD16,K$6&lt;=$BE16),"計",IF(AND(K$6&gt;=$BH16,K$6&lt;=$BI16),"遅","")))))</f>
        <v/>
      </c>
      <c r="L16" s="93" t="str">
        <f>IF($BB16="","",IF(L$6=$BJ16,"◆",IF(AND(L$6&gt;=$BF16,L$6&lt;=$BG16),IF(AND(L$6&gt;=$BD16,L$6&lt;=$BE16),"実","外"),IF(AND(L$6&gt;=$BD16,L$6&lt;=$BE16),"計",IF(AND(L$6&gt;=$BH16,L$6&lt;=$BI16),"遅","")))))</f>
        <v/>
      </c>
      <c r="M16" s="93" t="str">
        <f>IF($BB16="","",IF(M$6=$BJ16,"◆",IF(AND(M$6&gt;=$BF16,M$6&lt;=$BG16),IF(AND(M$6&gt;=$BD16,M$6&lt;=$BE16),"実","外"),IF(AND(M$6&gt;=$BD16,M$6&lt;=$BE16),"計",IF(AND(M$6&gt;=$BH16,M$6&lt;=$BI16),"遅","")))))</f>
        <v/>
      </c>
      <c r="N16" s="93" t="str">
        <f>IF($BB16="","",IF(N$6=$BJ16,"◆",IF(AND(N$6&gt;=$BF16,N$6&lt;=$BG16),IF(AND(N$6&gt;=$BD16,N$6&lt;=$BE16),"実","外"),IF(AND(N$6&gt;=$BD16,N$6&lt;=$BE16),"計",IF(AND(N$6&gt;=$BH16,N$6&lt;=$BI16),"遅","")))))</f>
        <v/>
      </c>
      <c r="O16" s="93" t="str">
        <f>IF($BB16="","",IF(O$6=$BJ16,"◆",IF(AND(O$6&gt;=$BF16,O$6&lt;=$BG16),IF(AND(O$6&gt;=$BD16,O$6&lt;=$BE16),"実","外"),IF(AND(O$6&gt;=$BD16,O$6&lt;=$BE16),"計",IF(AND(O$6&gt;=$BH16,O$6&lt;=$BI16),"遅","")))))</f>
        <v/>
      </c>
      <c r="P16" s="93" t="str">
        <f>IF($BB16="","",IF(P$6=$BJ16,"◆",IF(AND(P$6&gt;=$BF16,P$6&lt;=$BG16),IF(AND(P$6&gt;=$BD16,P$6&lt;=$BE16),"実","外"),IF(AND(P$6&gt;=$BD16,P$6&lt;=$BE16),"計",IF(AND(P$6&gt;=$BH16,P$6&lt;=$BI16),"遅","")))))</f>
        <v/>
      </c>
      <c r="Q16" s="93" t="str">
        <f>IF($BB16="","",IF(Q$6=$BJ16,"◆",IF(AND(Q$6&gt;=$BF16,Q$6&lt;=$BG16),IF(AND(Q$6&gt;=$BD16,Q$6&lt;=$BE16),"実","外"),IF(AND(Q$6&gt;=$BD16,Q$6&lt;=$BE16),"計",IF(AND(Q$6&gt;=$BH16,Q$6&lt;=$BI16),"遅","")))))</f>
        <v/>
      </c>
      <c r="R16" s="93" t="str">
        <f>IF($BB16="","",IF(R$6=$BJ16,"◆",IF(AND(R$6&gt;=$BF16,R$6&lt;=$BG16),IF(AND(R$6&gt;=$BD16,R$6&lt;=$BE16),"実","外"),IF(AND(R$6&gt;=$BD16,R$6&lt;=$BE16),"計",IF(AND(R$6&gt;=$BH16,R$6&lt;=$BI16),"遅","")))))</f>
        <v>計</v>
      </c>
      <c r="S16" s="93" t="str">
        <f>IF($BB16="","",IF(S$6=$BJ16,"◆",IF(AND(S$6&gt;=$BF16,S$6&lt;=$BG16),IF(AND(S$6&gt;=$BD16,S$6&lt;=$BE16),"実","外"),IF(AND(S$6&gt;=$BD16,S$6&lt;=$BE16),"計",IF(AND(S$6&gt;=$BH16,S$6&lt;=$BI16),"遅","")))))</f>
        <v/>
      </c>
      <c r="T16" s="93" t="str">
        <f>IF($BB16="","",IF(T$6=$BJ16,"◆",IF(AND(T$6&gt;=$BF16,T$6&lt;=$BG16),IF(AND(T$6&gt;=$BD16,T$6&lt;=$BE16),"実","外"),IF(AND(T$6&gt;=$BD16,T$6&lt;=$BE16),"計",IF(AND(T$6&gt;=$BH16,T$6&lt;=$BI16),"遅","")))))</f>
        <v/>
      </c>
      <c r="U16" s="93" t="str">
        <f>IF($BB16="","",IF(U$6=$BJ16,"◆",IF(AND(U$6&gt;=$BF16,U$6&lt;=$BG16),IF(AND(U$6&gt;=$BD16,U$6&lt;=$BE16),"実","外"),IF(AND(U$6&gt;=$BD16,U$6&lt;=$BE16),"計",IF(AND(U$6&gt;=$BH16,U$6&lt;=$BI16),"遅","")))))</f>
        <v/>
      </c>
      <c r="V16" s="93" t="str">
        <f>IF($BB16="","",IF(V$6=$BJ16,"◆",IF(AND(V$6&gt;=$BF16,V$6&lt;=$BG16),IF(AND(V$6&gt;=$BD16,V$6&lt;=$BE16),"実","外"),IF(AND(V$6&gt;=$BD16,V$6&lt;=$BE16),"計",IF(AND(V$6&gt;=$BH16,V$6&lt;=$BI16),"遅","")))))</f>
        <v/>
      </c>
      <c r="W16" s="93" t="str">
        <f>IF($BB16="","",IF(W$6=$BJ16,"◆",IF(AND(W$6&gt;=$BF16,W$6&lt;=$BG16),IF(AND(W$6&gt;=$BD16,W$6&lt;=$BE16),"実","外"),IF(AND(W$6&gt;=$BD16,W$6&lt;=$BE16),"計",IF(AND(W$6&gt;=$BH16,W$6&lt;=$BI16),"遅","")))))</f>
        <v/>
      </c>
      <c r="X16" s="93" t="str">
        <f>IF($BB16="","",IF(X$6=$BJ16,"◆",IF(AND(X$6&gt;=$BF16,X$6&lt;=$BG16),IF(AND(X$6&gt;=$BD16,X$6&lt;=$BE16),"実","外"),IF(AND(X$6&gt;=$BD16,X$6&lt;=$BE16),"計",IF(AND(X$6&gt;=$BH16,X$6&lt;=$BI16),"遅","")))))</f>
        <v/>
      </c>
      <c r="Y16" s="93" t="str">
        <f>IF($BB16="","",IF(Y$6=$BJ16,"◆",IF(AND(Y$6&gt;=$BF16,Y$6&lt;=$BG16),IF(AND(Y$6&gt;=$BD16,Y$6&lt;=$BE16),"実","外"),IF(AND(Y$6&gt;=$BD16,Y$6&lt;=$BE16),"計",IF(AND(Y$6&gt;=$BH16,Y$6&lt;=$BI16),"遅","")))))</f>
        <v/>
      </c>
      <c r="Z16" s="93" t="str">
        <f>IF($BB16="","",IF(Z$6=$BJ16,"◆",IF(AND(Z$6&gt;=$BF16,Z$6&lt;=$BG16),IF(AND(Z$6&gt;=$BD16,Z$6&lt;=$BE16),"実","外"),IF(AND(Z$6&gt;=$BD16,Z$6&lt;=$BE16),"計",IF(AND(Z$6&gt;=$BH16,Z$6&lt;=$BI16),"遅","")))))</f>
        <v/>
      </c>
      <c r="AA16" s="93" t="str">
        <f>IF($BB16="","",IF(AA$6=$BJ16,"◆",IF(AND(AA$6&gt;=$BF16,AA$6&lt;=$BG16),IF(AND(AA$6&gt;=$BD16,AA$6&lt;=$BE16),"実","外"),IF(AND(AA$6&gt;=$BD16,AA$6&lt;=$BE16),"計",IF(AND(AA$6&gt;=$BH16,AA$6&lt;=$BI16),"遅","")))))</f>
        <v/>
      </c>
      <c r="AB16" s="93" t="str">
        <f>IF($BB16="","",IF(AB$6=$BJ16,"◆",IF(AND(AB$6&gt;=$BF16,AB$6&lt;=$BG16),IF(AND(AB$6&gt;=$BD16,AB$6&lt;=$BE16),"実","外"),IF(AND(AB$6&gt;=$BD16,AB$6&lt;=$BE16),"計",IF(AND(AB$6&gt;=$BH16,AB$6&lt;=$BI16),"遅","")))))</f>
        <v/>
      </c>
      <c r="AC16" s="93" t="str">
        <f>IF($BB16="","",IF(AC$6=$BJ16,"◆",IF(AND(AC$6&gt;=$BF16,AC$6&lt;=$BG16),IF(AND(AC$6&gt;=$BD16,AC$6&lt;=$BE16),"実","外"),IF(AND(AC$6&gt;=$BD16,AC$6&lt;=$BE16),"計",IF(AND(AC$6&gt;=$BH16,AC$6&lt;=$BI16),"遅","")))))</f>
        <v>◆</v>
      </c>
      <c r="AD16" s="93" t="str">
        <f>IF($BB16="","",IF(AD$6=$BJ16,"◆",IF(AND(AD$6&gt;=$BF16,AD$6&lt;=$BG16),IF(AND(AD$6&gt;=$BD16,AD$6&lt;=$BE16),"実","外"),IF(AND(AD$6&gt;=$BD16,AD$6&lt;=$BE16),"計",IF(AND(AD$6&gt;=$BH16,AD$6&lt;=$BI16),"遅","")))))</f>
        <v/>
      </c>
      <c r="AE16" s="93" t="str">
        <f>IF($BB16="","",IF(AE$6=$BJ16,"◆",IF(AND(AE$6&gt;=$BF16,AE$6&lt;=$BG16),IF(AND(AE$6&gt;=$BD16,AE$6&lt;=$BE16),"実","外"),IF(AND(AE$6&gt;=$BD16,AE$6&lt;=$BE16),"計",IF(AND(AE$6&gt;=$BH16,AE$6&lt;=$BI16),"遅","")))))</f>
        <v/>
      </c>
      <c r="AF16" s="93" t="str">
        <f>IF($BB16="","",IF(AF$6=$BJ16,"◆",IF(AND(AF$6&gt;=$BF16,AF$6&lt;=$BG16),IF(AND(AF$6&gt;=$BD16,AF$6&lt;=$BE16),"実","外"),IF(AND(AF$6&gt;=$BD16,AF$6&lt;=$BE16),"計",IF(AND(AF$6&gt;=$BH16,AF$6&lt;=$BI16),"遅","")))))</f>
        <v/>
      </c>
      <c r="AG16" s="93" t="str">
        <f>IF($BB16="","",IF(AG$6=$BJ16,"◆",IF(AND(AG$6&gt;=$BF16,AG$6&lt;=$BG16),IF(AND(AG$6&gt;=$BD16,AG$6&lt;=$BE16),"実","外"),IF(AND(AG$6&gt;=$BD16,AG$6&lt;=$BE16),"計",IF(AND(AG$6&gt;=$BH16,AG$6&lt;=$BI16),"遅","")))))</f>
        <v/>
      </c>
      <c r="AH16" s="93" t="str">
        <f>IF($BB16="","",IF(AH$6=$BJ16,"◆",IF(AND(AH$6&gt;=$BF16,AH$6&lt;=$BG16),IF(AND(AH$6&gt;=$BD16,AH$6&lt;=$BE16),"実","外"),IF(AND(AH$6&gt;=$BD16,AH$6&lt;=$BE16),"計",IF(AND(AH$6&gt;=$BH16,AH$6&lt;=$BI16),"遅","")))))</f>
        <v/>
      </c>
      <c r="AI16" s="93" t="str">
        <f>IF($BB16="","",IF(AI$6=$BJ16,"◆",IF(AND(AI$6&gt;=$BF16,AI$6&lt;=$BG16),IF(AND(AI$6&gt;=$BD16,AI$6&lt;=$BE16),"実","外"),IF(AND(AI$6&gt;=$BD16,AI$6&lt;=$BE16),"計",IF(AND(AI$6&gt;=$BH16,AI$6&lt;=$BI16),"遅","")))))</f>
        <v/>
      </c>
      <c r="AJ16" s="93" t="str">
        <f>IF($BB16="","",IF(AJ$6=$BJ16,"◆",IF(AND(AJ$6&gt;=$BF16,AJ$6&lt;=$BG16),IF(AND(AJ$6&gt;=$BD16,AJ$6&lt;=$BE16),"実","外"),IF(AND(AJ$6&gt;=$BD16,AJ$6&lt;=$BE16),"計",IF(AND(AJ$6&gt;=$BH16,AJ$6&lt;=$BI16),"遅","")))))</f>
        <v/>
      </c>
      <c r="AK16" s="93" t="str">
        <f>IF($BB16="","",IF(AK$6=$BJ16,"◆",IF(AND(AK$6&gt;=$BF16,AK$6&lt;=$BG16),IF(AND(AK$6&gt;=$BD16,AK$6&lt;=$BE16),"実","外"),IF(AND(AK$6&gt;=$BD16,AK$6&lt;=$BE16),"計",IF(AND(AK$6&gt;=$BH16,AK$6&lt;=$BI16),"遅","")))))</f>
        <v/>
      </c>
      <c r="AL16" s="93" t="str">
        <f>IF($BB16="","",IF(AL$6=$BJ16,"◆",IF(AND(AL$6&gt;=$BF16,AL$6&lt;=$BG16),IF(AND(AL$6&gt;=$BD16,AL$6&lt;=$BE16),"実","外"),IF(AND(AL$6&gt;=$BD16,AL$6&lt;=$BE16),"計",IF(AND(AL$6&gt;=$BH16,AL$6&lt;=$BI16),"遅","")))))</f>
        <v/>
      </c>
      <c r="AM16" s="93" t="str">
        <f>IF($BB16="","",IF(AM$6=$BJ16,"◆",IF(AND(AM$6&gt;=$BF16,AM$6&lt;=$BG16),IF(AND(AM$6&gt;=$BD16,AM$6&lt;=$BE16),"実","外"),IF(AND(AM$6&gt;=$BD16,AM$6&lt;=$BE16),"計",IF(AND(AM$6&gt;=$BH16,AM$6&lt;=$BI16),"遅","")))))</f>
        <v/>
      </c>
      <c r="AN16" s="93" t="str">
        <f>IF($BB16="","",IF(AN$6=$BJ16,"◆",IF(AND(AN$6&gt;=$BF16,AN$6&lt;=$BG16),IF(AND(AN$6&gt;=$BD16,AN$6&lt;=$BE16),"実","外"),IF(AND(AN$6&gt;=$BD16,AN$6&lt;=$BE16),"計",IF(AND(AN$6&gt;=$BH16,AN$6&lt;=$BI16),"遅","")))))</f>
        <v/>
      </c>
      <c r="AO16" s="93" t="str">
        <f>IF($BB16="","",IF(AO$6=$BJ16,"◆",IF(AND(AO$6&gt;=$BF16,AO$6&lt;=$BG16),IF(AND(AO$6&gt;=$BD16,AO$6&lt;=$BE16),"実","外"),IF(AND(AO$6&gt;=$BD16,AO$6&lt;=$BE16),"計",IF(AND(AO$6&gt;=$BH16,AO$6&lt;=$BI16),"遅","")))))</f>
        <v/>
      </c>
      <c r="AP16" s="93" t="str">
        <f>IF($BB16="","",IF(AP$6=$BJ16,"◆",IF(AND(AP$6&gt;=$BF16,AP$6&lt;=$BG16),IF(AND(AP$6&gt;=$BD16,AP$6&lt;=$BE16),"実","外"),IF(AND(AP$6&gt;=$BD16,AP$6&lt;=$BE16),"計",IF(AND(AP$6&gt;=$BH16,AP$6&lt;=$BI16),"遅","")))))</f>
        <v/>
      </c>
      <c r="AQ16" s="93" t="str">
        <f>IF($BB16="","",IF(AQ$6=$BJ16,"◆",IF(AND(AQ$6&gt;=$BF16,AQ$6&lt;=$BG16),IF(AND(AQ$6&gt;=$BD16,AQ$6&lt;=$BE16),"実","外"),IF(AND(AQ$6&gt;=$BD16,AQ$6&lt;=$BE16),"計",IF(AND(AQ$6&gt;=$BH16,AQ$6&lt;=$BI16),"遅","")))))</f>
        <v/>
      </c>
      <c r="AR16" s="93" t="str">
        <f>IF($BB16="","",IF(AR$6=$BJ16,"◆",IF(AND(AR$6&gt;=$BF16,AR$6&lt;=$BG16),IF(AND(AR$6&gt;=$BD16,AR$6&lt;=$BE16),"実","外"),IF(AND(AR$6&gt;=$BD16,AR$6&lt;=$BE16),"計",IF(AND(AR$6&gt;=$BH16,AR$6&lt;=$BI16),"遅","")))))</f>
        <v/>
      </c>
      <c r="AS16" s="93" t="str">
        <f>IF($BB16="","",IF(AS$6=$BJ16,"◆",IF(AND(AS$6&gt;=$BF16,AS$6&lt;=$BG16),IF(AND(AS$6&gt;=$BD16,AS$6&lt;=$BE16),"実","外"),IF(AND(AS$6&gt;=$BD16,AS$6&lt;=$BE16),"計",IF(AND(AS$6&gt;=$BH16,AS$6&lt;=$BI16),"遅","")))))</f>
        <v/>
      </c>
      <c r="AT16" s="93" t="str">
        <f>IF($BB16="","",IF(AT$6=$BJ16,"◆",IF(AND(AT$6&gt;=$BF16,AT$6&lt;=$BG16),IF(AND(AT$6&gt;=$BD16,AT$6&lt;=$BE16),"実","外"),IF(AND(AT$6&gt;=$BD16,AT$6&lt;=$BE16),"計",IF(AND(AT$6&gt;=$BH16,AT$6&lt;=$BI16),"遅","")))))</f>
        <v/>
      </c>
      <c r="AU16" s="93" t="str">
        <f>IF($BB16="","",IF(AU$6=$BJ16,"◆",IF(AND(AU$6&gt;=$BF16,AU$6&lt;=$BG16),IF(AND(AU$6&gt;=$BD16,AU$6&lt;=$BE16),"実","外"),IF(AND(AU$6&gt;=$BD16,AU$6&lt;=$BE16),"計",IF(AND(AU$6&gt;=$BH16,AU$6&lt;=$BI16),"遅","")))))</f>
        <v/>
      </c>
      <c r="AV16" s="93" t="str">
        <f>IF($BB16="","",IF(AV$6=$BJ16,"◆",IF(AND(AV$6&gt;=$BF16,AV$6&lt;=$BG16),IF(AND(AV$6&gt;=$BD16,AV$6&lt;=$BE16),"実","外"),IF(AND(AV$6&gt;=$BD16,AV$6&lt;=$BE16),"計",IF(AND(AV$6&gt;=$BH16,AV$6&lt;=$BI16),"遅","")))))</f>
        <v/>
      </c>
      <c r="AW16" s="93" t="str">
        <f>IF($BB16="","",IF(AW$6=$BJ16,"◆",IF(AND(AW$6&gt;=$BF16,AW$6&lt;=$BG16),IF(AND(AW$6&gt;=$BD16,AW$6&lt;=$BE16),"実","外"),IF(AND(AW$6&gt;=$BD16,AW$6&lt;=$BE16),"計",IF(AND(AW$6&gt;=$BH16,AW$6&lt;=$BI16),"遅","")))))</f>
        <v/>
      </c>
      <c r="AX16" s="93" t="str">
        <f>IF($BB16="","",IF(AX$6=$BJ16,"◆",IF(AND(AX$6&gt;=$BF16,AX$6&lt;=$BG16),IF(AND(AX$6&gt;=$BD16,AX$6&lt;=$BE16),"実","外"),IF(AND(AX$6&gt;=$BD16,AX$6&lt;=$BE16),"計",IF(AND(AX$6&gt;=$BH16,AX$6&lt;=$BI16),"遅","")))))</f>
        <v/>
      </c>
      <c r="AY16" s="93" t="str">
        <f>IF($BB16="","",IF(AY$6=$BJ16,"◆",IF(AND(AY$6&gt;=$BF16,AY$6&lt;=$BG16),IF(AND(AY$6&gt;=$BD16,AY$6&lt;=$BE16),"実","外"),IF(AND(AY$6&gt;=$BD16,AY$6&lt;=$BE16),"計",IF(AND(AY$6&gt;=$BH16,AY$6&lt;=$BI16),"遅","")))))</f>
        <v/>
      </c>
      <c r="AZ16" s="93" t="str">
        <f>IF($BB16="","",IF(AZ$6=$BJ16,"◆",IF(AND(AZ$6&gt;=$BF16,AZ$6&lt;=$BG16),IF(AND(AZ$6&gt;=$BD16,AZ$6&lt;=$BE16),"実","外"),IF(AND(AZ$6&gt;=$BD16,AZ$6&lt;=$BE16),"計",IF(AND(AZ$6&gt;=$BH16,AZ$6&lt;=$BI16),"遅","")))))</f>
        <v/>
      </c>
      <c r="BB16">
        <f>IF(9&gt;COUNTIF(tblSteps[日別対象],1),"",IFERROR(MATCH(9,tblSteps[日別順位],0),""))</f>
        <v>27</v>
      </c>
      <c r="BC16" t="str">
        <f>IF($BB16="","",INDEX(tblSteps[案件ID],$BB16)&amp;"")</f>
        <v>A0008</v>
      </c>
      <c r="BD16">
        <f>IF($BB16="","",INDEX(tblSteps[計開],$BB16))</f>
        <v>46300</v>
      </c>
      <c r="BE16">
        <f>IF($BB16="","",INDEX(tblSteps[計終],$BB16))</f>
        <v>46300</v>
      </c>
      <c r="BF16">
        <f>IF($BB16="","",INDEX(tblSteps[実開],$BB16))</f>
        <v>1</v>
      </c>
      <c r="BG16">
        <f>IF($BB16="","",INDEX(tblSteps[実終],$BB16))</f>
        <v>0</v>
      </c>
      <c r="BH16">
        <f>IF($BB16="","",INDEX(tblSteps[遅開],$BB16))</f>
        <v>46301</v>
      </c>
      <c r="BI16">
        <f>IF($BB16="","",INDEX(tblSteps[遅終],$BB16))</f>
        <v>0</v>
      </c>
      <c r="BJ16">
        <f>IF($BB16="","",INDEX(tblSteps[納期値],$BB16))</f>
        <v>46311</v>
      </c>
    </row>
    <row r="17" ht="18" customHeight="1">
      <c r="A17" s="89" t="str">
        <f>IF($BB17="","",INDEX(tblSteps[工程ID],$BB17)&amp;"")</f>
        <v>S0004</v>
      </c>
      <c r="B17" s="88" t="str">
        <f>IF($BB17="","",IF($BC17=$BC16,"",$BC17&amp;" "&amp;INDEX(tblSteps[案件名],$BB17)))</f>
        <v/>
      </c>
      <c r="C17" s="88" t="str">
        <f>IF($BB17="","",INDEX(tblSteps[工程名],$BB17)&amp;"")</f>
        <v>機械搬入</v>
      </c>
      <c r="D17" s="89" t="str">
        <f>IF($BB17="","",INDEX(tblSteps[担当],$BB17)&amp;"")</f>
        <v>田中</v>
      </c>
      <c r="E17" s="89" t="str">
        <f>IF($BB17="","",INDEX(tblSteps[状態],$BB17)&amp;"")</f>
        <v>未着手</v>
      </c>
      <c r="F17" s="90">
        <f>IF($BB17="","",IF(ISNUMBER(INDEX(tblSteps[進捗率],$BB17)),INDEX(tblSteps[進捗率],$BB17),""))</f>
        <v>0</v>
      </c>
      <c r="G17" s="91">
        <f>IF($BB17="","",IF(ISNUMBER(INDEX(tblSteps[計画開始日],$BB17)),INDEX(tblSteps[計画開始日],$BB17),"未入力"))</f>
        <v>46303.0</v>
      </c>
      <c r="H17" s="91">
        <f>IF($BB17="","",IF(ISNUMBER(INDEX(tblSteps[計画終了日],$BB17)),INDEX(tblSteps[計画終了日],$BB17),"未入力"))</f>
        <v>46304.0</v>
      </c>
      <c r="I17" s="91" t="str">
        <f>IF($BB17="","",IF(ISNUMBER(INDEX(tblSteps[完了見込日],$BB17)),INDEX(tblSteps[完了見込日],$BB17),""))</f>
        <v/>
      </c>
      <c r="J17" s="92" t="str">
        <f>IF($BB17="","",INDEX(tblSteps[注意短],$BB17)&amp;"")</f>
        <v>重複の可能性</v>
      </c>
      <c r="K17" s="93" t="str">
        <f>IF($BB17="","",IF(K$6=$BJ17,"◆",IF(AND(K$6&gt;=$BF17,K$6&lt;=$BG17),IF(AND(K$6&gt;=$BD17,K$6&lt;=$BE17),"実","外"),IF(AND(K$6&gt;=$BD17,K$6&lt;=$BE17),"計",IF(AND(K$6&gt;=$BH17,K$6&lt;=$BI17),"遅","")))))</f>
        <v/>
      </c>
      <c r="L17" s="93" t="str">
        <f>IF($BB17="","",IF(L$6=$BJ17,"◆",IF(AND(L$6&gt;=$BF17,L$6&lt;=$BG17),IF(AND(L$6&gt;=$BD17,L$6&lt;=$BE17),"実","外"),IF(AND(L$6&gt;=$BD17,L$6&lt;=$BE17),"計",IF(AND(L$6&gt;=$BH17,L$6&lt;=$BI17),"遅","")))))</f>
        <v/>
      </c>
      <c r="M17" s="93" t="str">
        <f>IF($BB17="","",IF(M$6=$BJ17,"◆",IF(AND(M$6&gt;=$BF17,M$6&lt;=$BG17),IF(AND(M$6&gt;=$BD17,M$6&lt;=$BE17),"実","外"),IF(AND(M$6&gt;=$BD17,M$6&lt;=$BE17),"計",IF(AND(M$6&gt;=$BH17,M$6&lt;=$BI17),"遅","")))))</f>
        <v/>
      </c>
      <c r="N17" s="93" t="str">
        <f>IF($BB17="","",IF(N$6=$BJ17,"◆",IF(AND(N$6&gt;=$BF17,N$6&lt;=$BG17),IF(AND(N$6&gt;=$BD17,N$6&lt;=$BE17),"実","外"),IF(AND(N$6&gt;=$BD17,N$6&lt;=$BE17),"計",IF(AND(N$6&gt;=$BH17,N$6&lt;=$BI17),"遅","")))))</f>
        <v/>
      </c>
      <c r="O17" s="93" t="str">
        <f>IF($BB17="","",IF(O$6=$BJ17,"◆",IF(AND(O$6&gt;=$BF17,O$6&lt;=$BG17),IF(AND(O$6&gt;=$BD17,O$6&lt;=$BE17),"実","外"),IF(AND(O$6&gt;=$BD17,O$6&lt;=$BE17),"計",IF(AND(O$6&gt;=$BH17,O$6&lt;=$BI17),"遅","")))))</f>
        <v/>
      </c>
      <c r="P17" s="93" t="str">
        <f>IF($BB17="","",IF(P$6=$BJ17,"◆",IF(AND(P$6&gt;=$BF17,P$6&lt;=$BG17),IF(AND(P$6&gt;=$BD17,P$6&lt;=$BE17),"実","外"),IF(AND(P$6&gt;=$BD17,P$6&lt;=$BE17),"計",IF(AND(P$6&gt;=$BH17,P$6&lt;=$BI17),"遅","")))))</f>
        <v/>
      </c>
      <c r="Q17" s="93" t="str">
        <f>IF($BB17="","",IF(Q$6=$BJ17,"◆",IF(AND(Q$6&gt;=$BF17,Q$6&lt;=$BG17),IF(AND(Q$6&gt;=$BD17,Q$6&lt;=$BE17),"実","外"),IF(AND(Q$6&gt;=$BD17,Q$6&lt;=$BE17),"計",IF(AND(Q$6&gt;=$BH17,Q$6&lt;=$BI17),"遅","")))))</f>
        <v/>
      </c>
      <c r="R17" s="93" t="str">
        <f>IF($BB17="","",IF(R$6=$BJ17,"◆",IF(AND(R$6&gt;=$BF17,R$6&lt;=$BG17),IF(AND(R$6&gt;=$BD17,R$6&lt;=$BE17),"実","外"),IF(AND(R$6&gt;=$BD17,R$6&lt;=$BE17),"計",IF(AND(R$6&gt;=$BH17,R$6&lt;=$BI17),"遅","")))))</f>
        <v/>
      </c>
      <c r="S17" s="93" t="str">
        <f>IF($BB17="","",IF(S$6=$BJ17,"◆",IF(AND(S$6&gt;=$BF17,S$6&lt;=$BG17),IF(AND(S$6&gt;=$BD17,S$6&lt;=$BE17),"実","外"),IF(AND(S$6&gt;=$BD17,S$6&lt;=$BE17),"計",IF(AND(S$6&gt;=$BH17,S$6&lt;=$BI17),"遅","")))))</f>
        <v/>
      </c>
      <c r="T17" s="93" t="str">
        <f>IF($BB17="","",IF(T$6=$BJ17,"◆",IF(AND(T$6&gt;=$BF17,T$6&lt;=$BG17),IF(AND(T$6&gt;=$BD17,T$6&lt;=$BE17),"実","外"),IF(AND(T$6&gt;=$BD17,T$6&lt;=$BE17),"計",IF(AND(T$6&gt;=$BH17,T$6&lt;=$BI17),"遅","")))))</f>
        <v/>
      </c>
      <c r="U17" s="93" t="str">
        <f>IF($BB17="","",IF(U$6=$BJ17,"◆",IF(AND(U$6&gt;=$BF17,U$6&lt;=$BG17),IF(AND(U$6&gt;=$BD17,U$6&lt;=$BE17),"実","外"),IF(AND(U$6&gt;=$BD17,U$6&lt;=$BE17),"計",IF(AND(U$6&gt;=$BH17,U$6&lt;=$BI17),"遅","")))))</f>
        <v>計</v>
      </c>
      <c r="V17" s="93" t="str">
        <f>IF($BB17="","",IF(V$6=$BJ17,"◆",IF(AND(V$6&gt;=$BF17,V$6&lt;=$BG17),IF(AND(V$6&gt;=$BD17,V$6&lt;=$BE17),"実","外"),IF(AND(V$6&gt;=$BD17,V$6&lt;=$BE17),"計",IF(AND(V$6&gt;=$BH17,V$6&lt;=$BI17),"遅","")))))</f>
        <v>計</v>
      </c>
      <c r="W17" s="93" t="str">
        <f>IF($BB17="","",IF(W$6=$BJ17,"◆",IF(AND(W$6&gt;=$BF17,W$6&lt;=$BG17),IF(AND(W$6&gt;=$BD17,W$6&lt;=$BE17),"実","外"),IF(AND(W$6&gt;=$BD17,W$6&lt;=$BE17),"計",IF(AND(W$6&gt;=$BH17,W$6&lt;=$BI17),"遅","")))))</f>
        <v/>
      </c>
      <c r="X17" s="93" t="str">
        <f>IF($BB17="","",IF(X$6=$BJ17,"◆",IF(AND(X$6&gt;=$BF17,X$6&lt;=$BG17),IF(AND(X$6&gt;=$BD17,X$6&lt;=$BE17),"実","外"),IF(AND(X$6&gt;=$BD17,X$6&lt;=$BE17),"計",IF(AND(X$6&gt;=$BH17,X$6&lt;=$BI17),"遅","")))))</f>
        <v/>
      </c>
      <c r="Y17" s="93" t="str">
        <f>IF($BB17="","",IF(Y$6=$BJ17,"◆",IF(AND(Y$6&gt;=$BF17,Y$6&lt;=$BG17),IF(AND(Y$6&gt;=$BD17,Y$6&lt;=$BE17),"実","外"),IF(AND(Y$6&gt;=$BD17,Y$6&lt;=$BE17),"計",IF(AND(Y$6&gt;=$BH17,Y$6&lt;=$BI17),"遅","")))))</f>
        <v/>
      </c>
      <c r="Z17" s="93" t="str">
        <f>IF($BB17="","",IF(Z$6=$BJ17,"◆",IF(AND(Z$6&gt;=$BF17,Z$6&lt;=$BG17),IF(AND(Z$6&gt;=$BD17,Z$6&lt;=$BE17),"実","外"),IF(AND(Z$6&gt;=$BD17,Z$6&lt;=$BE17),"計",IF(AND(Z$6&gt;=$BH17,Z$6&lt;=$BI17),"遅","")))))</f>
        <v/>
      </c>
      <c r="AA17" s="93" t="str">
        <f>IF($BB17="","",IF(AA$6=$BJ17,"◆",IF(AND(AA$6&gt;=$BF17,AA$6&lt;=$BG17),IF(AND(AA$6&gt;=$BD17,AA$6&lt;=$BE17),"実","外"),IF(AND(AA$6&gt;=$BD17,AA$6&lt;=$BE17),"計",IF(AND(AA$6&gt;=$BH17,AA$6&lt;=$BI17),"遅","")))))</f>
        <v/>
      </c>
      <c r="AB17" s="93" t="str">
        <f>IF($BB17="","",IF(AB$6=$BJ17,"◆",IF(AND(AB$6&gt;=$BF17,AB$6&lt;=$BG17),IF(AND(AB$6&gt;=$BD17,AB$6&lt;=$BE17),"実","外"),IF(AND(AB$6&gt;=$BD17,AB$6&lt;=$BE17),"計",IF(AND(AB$6&gt;=$BH17,AB$6&lt;=$BI17),"遅","")))))</f>
        <v/>
      </c>
      <c r="AC17" s="93" t="str">
        <f>IF($BB17="","",IF(AC$6=$BJ17,"◆",IF(AND(AC$6&gt;=$BF17,AC$6&lt;=$BG17),IF(AND(AC$6&gt;=$BD17,AC$6&lt;=$BE17),"実","外"),IF(AND(AC$6&gt;=$BD17,AC$6&lt;=$BE17),"計",IF(AND(AC$6&gt;=$BH17,AC$6&lt;=$BI17),"遅","")))))</f>
        <v>◆</v>
      </c>
      <c r="AD17" s="93" t="str">
        <f>IF($BB17="","",IF(AD$6=$BJ17,"◆",IF(AND(AD$6&gt;=$BF17,AD$6&lt;=$BG17),IF(AND(AD$6&gt;=$BD17,AD$6&lt;=$BE17),"実","外"),IF(AND(AD$6&gt;=$BD17,AD$6&lt;=$BE17),"計",IF(AND(AD$6&gt;=$BH17,AD$6&lt;=$BI17),"遅","")))))</f>
        <v/>
      </c>
      <c r="AE17" s="93" t="str">
        <f>IF($BB17="","",IF(AE$6=$BJ17,"◆",IF(AND(AE$6&gt;=$BF17,AE$6&lt;=$BG17),IF(AND(AE$6&gt;=$BD17,AE$6&lt;=$BE17),"実","外"),IF(AND(AE$6&gt;=$BD17,AE$6&lt;=$BE17),"計",IF(AND(AE$6&gt;=$BH17,AE$6&lt;=$BI17),"遅","")))))</f>
        <v/>
      </c>
      <c r="AF17" s="93" t="str">
        <f>IF($BB17="","",IF(AF$6=$BJ17,"◆",IF(AND(AF$6&gt;=$BF17,AF$6&lt;=$BG17),IF(AND(AF$6&gt;=$BD17,AF$6&lt;=$BE17),"実","外"),IF(AND(AF$6&gt;=$BD17,AF$6&lt;=$BE17),"計",IF(AND(AF$6&gt;=$BH17,AF$6&lt;=$BI17),"遅","")))))</f>
        <v/>
      </c>
      <c r="AG17" s="93" t="str">
        <f>IF($BB17="","",IF(AG$6=$BJ17,"◆",IF(AND(AG$6&gt;=$BF17,AG$6&lt;=$BG17),IF(AND(AG$6&gt;=$BD17,AG$6&lt;=$BE17),"実","外"),IF(AND(AG$6&gt;=$BD17,AG$6&lt;=$BE17),"計",IF(AND(AG$6&gt;=$BH17,AG$6&lt;=$BI17),"遅","")))))</f>
        <v/>
      </c>
      <c r="AH17" s="93" t="str">
        <f>IF($BB17="","",IF(AH$6=$BJ17,"◆",IF(AND(AH$6&gt;=$BF17,AH$6&lt;=$BG17),IF(AND(AH$6&gt;=$BD17,AH$6&lt;=$BE17),"実","外"),IF(AND(AH$6&gt;=$BD17,AH$6&lt;=$BE17),"計",IF(AND(AH$6&gt;=$BH17,AH$6&lt;=$BI17),"遅","")))))</f>
        <v/>
      </c>
      <c r="AI17" s="93" t="str">
        <f>IF($BB17="","",IF(AI$6=$BJ17,"◆",IF(AND(AI$6&gt;=$BF17,AI$6&lt;=$BG17),IF(AND(AI$6&gt;=$BD17,AI$6&lt;=$BE17),"実","外"),IF(AND(AI$6&gt;=$BD17,AI$6&lt;=$BE17),"計",IF(AND(AI$6&gt;=$BH17,AI$6&lt;=$BI17),"遅","")))))</f>
        <v/>
      </c>
      <c r="AJ17" s="93" t="str">
        <f>IF($BB17="","",IF(AJ$6=$BJ17,"◆",IF(AND(AJ$6&gt;=$BF17,AJ$6&lt;=$BG17),IF(AND(AJ$6&gt;=$BD17,AJ$6&lt;=$BE17),"実","外"),IF(AND(AJ$6&gt;=$BD17,AJ$6&lt;=$BE17),"計",IF(AND(AJ$6&gt;=$BH17,AJ$6&lt;=$BI17),"遅","")))))</f>
        <v/>
      </c>
      <c r="AK17" s="93" t="str">
        <f>IF($BB17="","",IF(AK$6=$BJ17,"◆",IF(AND(AK$6&gt;=$BF17,AK$6&lt;=$BG17),IF(AND(AK$6&gt;=$BD17,AK$6&lt;=$BE17),"実","外"),IF(AND(AK$6&gt;=$BD17,AK$6&lt;=$BE17),"計",IF(AND(AK$6&gt;=$BH17,AK$6&lt;=$BI17),"遅","")))))</f>
        <v/>
      </c>
      <c r="AL17" s="93" t="str">
        <f>IF($BB17="","",IF(AL$6=$BJ17,"◆",IF(AND(AL$6&gt;=$BF17,AL$6&lt;=$BG17),IF(AND(AL$6&gt;=$BD17,AL$6&lt;=$BE17),"実","外"),IF(AND(AL$6&gt;=$BD17,AL$6&lt;=$BE17),"計",IF(AND(AL$6&gt;=$BH17,AL$6&lt;=$BI17),"遅","")))))</f>
        <v/>
      </c>
      <c r="AM17" s="93" t="str">
        <f>IF($BB17="","",IF(AM$6=$BJ17,"◆",IF(AND(AM$6&gt;=$BF17,AM$6&lt;=$BG17),IF(AND(AM$6&gt;=$BD17,AM$6&lt;=$BE17),"実","外"),IF(AND(AM$6&gt;=$BD17,AM$6&lt;=$BE17),"計",IF(AND(AM$6&gt;=$BH17,AM$6&lt;=$BI17),"遅","")))))</f>
        <v/>
      </c>
      <c r="AN17" s="93" t="str">
        <f>IF($BB17="","",IF(AN$6=$BJ17,"◆",IF(AND(AN$6&gt;=$BF17,AN$6&lt;=$BG17),IF(AND(AN$6&gt;=$BD17,AN$6&lt;=$BE17),"実","外"),IF(AND(AN$6&gt;=$BD17,AN$6&lt;=$BE17),"計",IF(AND(AN$6&gt;=$BH17,AN$6&lt;=$BI17),"遅","")))))</f>
        <v/>
      </c>
      <c r="AO17" s="93" t="str">
        <f>IF($BB17="","",IF(AO$6=$BJ17,"◆",IF(AND(AO$6&gt;=$BF17,AO$6&lt;=$BG17),IF(AND(AO$6&gt;=$BD17,AO$6&lt;=$BE17),"実","外"),IF(AND(AO$6&gt;=$BD17,AO$6&lt;=$BE17),"計",IF(AND(AO$6&gt;=$BH17,AO$6&lt;=$BI17),"遅","")))))</f>
        <v/>
      </c>
      <c r="AP17" s="93" t="str">
        <f>IF($BB17="","",IF(AP$6=$BJ17,"◆",IF(AND(AP$6&gt;=$BF17,AP$6&lt;=$BG17),IF(AND(AP$6&gt;=$BD17,AP$6&lt;=$BE17),"実","外"),IF(AND(AP$6&gt;=$BD17,AP$6&lt;=$BE17),"計",IF(AND(AP$6&gt;=$BH17,AP$6&lt;=$BI17),"遅","")))))</f>
        <v/>
      </c>
      <c r="AQ17" s="93" t="str">
        <f>IF($BB17="","",IF(AQ$6=$BJ17,"◆",IF(AND(AQ$6&gt;=$BF17,AQ$6&lt;=$BG17),IF(AND(AQ$6&gt;=$BD17,AQ$6&lt;=$BE17),"実","外"),IF(AND(AQ$6&gt;=$BD17,AQ$6&lt;=$BE17),"計",IF(AND(AQ$6&gt;=$BH17,AQ$6&lt;=$BI17),"遅","")))))</f>
        <v/>
      </c>
      <c r="AR17" s="93" t="str">
        <f>IF($BB17="","",IF(AR$6=$BJ17,"◆",IF(AND(AR$6&gt;=$BF17,AR$6&lt;=$BG17),IF(AND(AR$6&gt;=$BD17,AR$6&lt;=$BE17),"実","外"),IF(AND(AR$6&gt;=$BD17,AR$6&lt;=$BE17),"計",IF(AND(AR$6&gt;=$BH17,AR$6&lt;=$BI17),"遅","")))))</f>
        <v/>
      </c>
      <c r="AS17" s="93" t="str">
        <f>IF($BB17="","",IF(AS$6=$BJ17,"◆",IF(AND(AS$6&gt;=$BF17,AS$6&lt;=$BG17),IF(AND(AS$6&gt;=$BD17,AS$6&lt;=$BE17),"実","外"),IF(AND(AS$6&gt;=$BD17,AS$6&lt;=$BE17),"計",IF(AND(AS$6&gt;=$BH17,AS$6&lt;=$BI17),"遅","")))))</f>
        <v/>
      </c>
      <c r="AT17" s="93" t="str">
        <f>IF($BB17="","",IF(AT$6=$BJ17,"◆",IF(AND(AT$6&gt;=$BF17,AT$6&lt;=$BG17),IF(AND(AT$6&gt;=$BD17,AT$6&lt;=$BE17),"実","外"),IF(AND(AT$6&gt;=$BD17,AT$6&lt;=$BE17),"計",IF(AND(AT$6&gt;=$BH17,AT$6&lt;=$BI17),"遅","")))))</f>
        <v/>
      </c>
      <c r="AU17" s="93" t="str">
        <f>IF($BB17="","",IF(AU$6=$BJ17,"◆",IF(AND(AU$6&gt;=$BF17,AU$6&lt;=$BG17),IF(AND(AU$6&gt;=$BD17,AU$6&lt;=$BE17),"実","外"),IF(AND(AU$6&gt;=$BD17,AU$6&lt;=$BE17),"計",IF(AND(AU$6&gt;=$BH17,AU$6&lt;=$BI17),"遅","")))))</f>
        <v/>
      </c>
      <c r="AV17" s="93" t="str">
        <f>IF($BB17="","",IF(AV$6=$BJ17,"◆",IF(AND(AV$6&gt;=$BF17,AV$6&lt;=$BG17),IF(AND(AV$6&gt;=$BD17,AV$6&lt;=$BE17),"実","外"),IF(AND(AV$6&gt;=$BD17,AV$6&lt;=$BE17),"計",IF(AND(AV$6&gt;=$BH17,AV$6&lt;=$BI17),"遅","")))))</f>
        <v/>
      </c>
      <c r="AW17" s="93" t="str">
        <f>IF($BB17="","",IF(AW$6=$BJ17,"◆",IF(AND(AW$6&gt;=$BF17,AW$6&lt;=$BG17),IF(AND(AW$6&gt;=$BD17,AW$6&lt;=$BE17),"実","外"),IF(AND(AW$6&gt;=$BD17,AW$6&lt;=$BE17),"計",IF(AND(AW$6&gt;=$BH17,AW$6&lt;=$BI17),"遅","")))))</f>
        <v/>
      </c>
      <c r="AX17" s="93" t="str">
        <f>IF($BB17="","",IF(AX$6=$BJ17,"◆",IF(AND(AX$6&gt;=$BF17,AX$6&lt;=$BG17),IF(AND(AX$6&gt;=$BD17,AX$6&lt;=$BE17),"実","外"),IF(AND(AX$6&gt;=$BD17,AX$6&lt;=$BE17),"計",IF(AND(AX$6&gt;=$BH17,AX$6&lt;=$BI17),"遅","")))))</f>
        <v/>
      </c>
      <c r="AY17" s="93" t="str">
        <f>IF($BB17="","",IF(AY$6=$BJ17,"◆",IF(AND(AY$6&gt;=$BF17,AY$6&lt;=$BG17),IF(AND(AY$6&gt;=$BD17,AY$6&lt;=$BE17),"実","外"),IF(AND(AY$6&gt;=$BD17,AY$6&lt;=$BE17),"計",IF(AND(AY$6&gt;=$BH17,AY$6&lt;=$BI17),"遅","")))))</f>
        <v/>
      </c>
      <c r="AZ17" s="93" t="str">
        <f>IF($BB17="","",IF(AZ$6=$BJ17,"◆",IF(AND(AZ$6&gt;=$BF17,AZ$6&lt;=$BG17),IF(AND(AZ$6&gt;=$BD17,AZ$6&lt;=$BE17),"実","外"),IF(AND(AZ$6&gt;=$BD17,AZ$6&lt;=$BE17),"計",IF(AND(AZ$6&gt;=$BH17,AZ$6&lt;=$BI17),"遅","")))))</f>
        <v/>
      </c>
      <c r="BB17">
        <f>IF(10&gt;COUNTIF(tblSteps[日別対象],1),"",IFERROR(MATCH(10,tblSteps[日別順位],0),""))</f>
        <v>4</v>
      </c>
      <c r="BC17" t="str">
        <f>IF($BB17="","",INDEX(tblSteps[案件ID],$BB17)&amp;"")</f>
        <v>A0008</v>
      </c>
      <c r="BD17">
        <f>IF($BB17="","",INDEX(tblSteps[計開],$BB17))</f>
        <v>46303</v>
      </c>
      <c r="BE17">
        <f>IF($BB17="","",INDEX(tblSteps[計終],$BB17))</f>
        <v>46304</v>
      </c>
      <c r="BF17">
        <f>IF($BB17="","",INDEX(tblSteps[実開],$BB17))</f>
        <v>1</v>
      </c>
      <c r="BG17">
        <f>IF($BB17="","",INDEX(tblSteps[実終],$BB17))</f>
        <v>0</v>
      </c>
      <c r="BH17">
        <f>IF($BB17="","",INDEX(tblSteps[遅開],$BB17))</f>
        <v>46305</v>
      </c>
      <c r="BI17">
        <f>IF($BB17="","",INDEX(tblSteps[遅終],$BB17))</f>
        <v>0</v>
      </c>
      <c r="BJ17">
        <f>IF($BB17="","",INDEX(tblSteps[納期値],$BB17))</f>
        <v>46311</v>
      </c>
    </row>
    <row r="18" ht="18" customHeight="1">
      <c r="A18" s="89" t="str">
        <f>IF($BB18="","",INDEX(tblSteps[工程ID],$BB18)&amp;"")</f>
        <v>S0005</v>
      </c>
      <c r="B18" s="88" t="str">
        <f>IF($BB18="","",IF($BC18=$BC17,"",$BC18&amp;" "&amp;INDEX(tblSteps[案件名],$BB18)))</f>
        <v/>
      </c>
      <c r="C18" s="88" t="str">
        <f>IF($BB18="","",INDEX(tblSteps[工程名],$BB18)&amp;"")</f>
        <v>据付・レベル出し</v>
      </c>
      <c r="D18" s="89" t="str">
        <f>IF($BB18="","",INDEX(tblSteps[担当],$BB18)&amp;"")</f>
        <v>伊藤</v>
      </c>
      <c r="E18" s="89" t="str">
        <f>IF($BB18="","",INDEX(tblSteps[状態],$BB18)&amp;"")</f>
        <v>未着手</v>
      </c>
      <c r="F18" s="90">
        <f>IF($BB18="","",IF(ISNUMBER(INDEX(tblSteps[進捗率],$BB18)),INDEX(tblSteps[進捗率],$BB18),""))</f>
        <v>0</v>
      </c>
      <c r="G18" s="91">
        <f>IF($BB18="","",IF(ISNUMBER(INDEX(tblSteps[計画開始日],$BB18)),INDEX(tblSteps[計画開始日],$BB18),"未入力"))</f>
        <v>46307.0</v>
      </c>
      <c r="H18" s="91">
        <f>IF($BB18="","",IF(ISNUMBER(INDEX(tblSteps[計画終了日],$BB18)),INDEX(tblSteps[計画終了日],$BB18),"未入力"))</f>
        <v>46309.0</v>
      </c>
      <c r="I18" s="91" t="str">
        <f>IF($BB18="","",IF(ISNUMBER(INDEX(tblSteps[完了見込日],$BB18)),INDEX(tblSteps[完了見込日],$BB18),""))</f>
        <v/>
      </c>
      <c r="J18" s="92" t="str">
        <f>IF($BB18="","",INDEX(tblSteps[注意短],$BB18)&amp;"")</f>
        <v/>
      </c>
      <c r="K18" s="93" t="str">
        <f>IF($BB18="","",IF(K$6=$BJ18,"◆",IF(AND(K$6&gt;=$BF18,K$6&lt;=$BG18),IF(AND(K$6&gt;=$BD18,K$6&lt;=$BE18),"実","外"),IF(AND(K$6&gt;=$BD18,K$6&lt;=$BE18),"計",IF(AND(K$6&gt;=$BH18,K$6&lt;=$BI18),"遅","")))))</f>
        <v/>
      </c>
      <c r="L18" s="93" t="str">
        <f>IF($BB18="","",IF(L$6=$BJ18,"◆",IF(AND(L$6&gt;=$BF18,L$6&lt;=$BG18),IF(AND(L$6&gt;=$BD18,L$6&lt;=$BE18),"実","外"),IF(AND(L$6&gt;=$BD18,L$6&lt;=$BE18),"計",IF(AND(L$6&gt;=$BH18,L$6&lt;=$BI18),"遅","")))))</f>
        <v/>
      </c>
      <c r="M18" s="93" t="str">
        <f>IF($BB18="","",IF(M$6=$BJ18,"◆",IF(AND(M$6&gt;=$BF18,M$6&lt;=$BG18),IF(AND(M$6&gt;=$BD18,M$6&lt;=$BE18),"実","外"),IF(AND(M$6&gt;=$BD18,M$6&lt;=$BE18),"計",IF(AND(M$6&gt;=$BH18,M$6&lt;=$BI18),"遅","")))))</f>
        <v/>
      </c>
      <c r="N18" s="93" t="str">
        <f>IF($BB18="","",IF(N$6=$BJ18,"◆",IF(AND(N$6&gt;=$BF18,N$6&lt;=$BG18),IF(AND(N$6&gt;=$BD18,N$6&lt;=$BE18),"実","外"),IF(AND(N$6&gt;=$BD18,N$6&lt;=$BE18),"計",IF(AND(N$6&gt;=$BH18,N$6&lt;=$BI18),"遅","")))))</f>
        <v/>
      </c>
      <c r="O18" s="93" t="str">
        <f>IF($BB18="","",IF(O$6=$BJ18,"◆",IF(AND(O$6&gt;=$BF18,O$6&lt;=$BG18),IF(AND(O$6&gt;=$BD18,O$6&lt;=$BE18),"実","外"),IF(AND(O$6&gt;=$BD18,O$6&lt;=$BE18),"計",IF(AND(O$6&gt;=$BH18,O$6&lt;=$BI18),"遅","")))))</f>
        <v/>
      </c>
      <c r="P18" s="93" t="str">
        <f>IF($BB18="","",IF(P$6=$BJ18,"◆",IF(AND(P$6&gt;=$BF18,P$6&lt;=$BG18),IF(AND(P$6&gt;=$BD18,P$6&lt;=$BE18),"実","外"),IF(AND(P$6&gt;=$BD18,P$6&lt;=$BE18),"計",IF(AND(P$6&gt;=$BH18,P$6&lt;=$BI18),"遅","")))))</f>
        <v/>
      </c>
      <c r="Q18" s="93" t="str">
        <f>IF($BB18="","",IF(Q$6=$BJ18,"◆",IF(AND(Q$6&gt;=$BF18,Q$6&lt;=$BG18),IF(AND(Q$6&gt;=$BD18,Q$6&lt;=$BE18),"実","外"),IF(AND(Q$6&gt;=$BD18,Q$6&lt;=$BE18),"計",IF(AND(Q$6&gt;=$BH18,Q$6&lt;=$BI18),"遅","")))))</f>
        <v/>
      </c>
      <c r="R18" s="93" t="str">
        <f>IF($BB18="","",IF(R$6=$BJ18,"◆",IF(AND(R$6&gt;=$BF18,R$6&lt;=$BG18),IF(AND(R$6&gt;=$BD18,R$6&lt;=$BE18),"実","外"),IF(AND(R$6&gt;=$BD18,R$6&lt;=$BE18),"計",IF(AND(R$6&gt;=$BH18,R$6&lt;=$BI18),"遅","")))))</f>
        <v/>
      </c>
      <c r="S18" s="93" t="str">
        <f>IF($BB18="","",IF(S$6=$BJ18,"◆",IF(AND(S$6&gt;=$BF18,S$6&lt;=$BG18),IF(AND(S$6&gt;=$BD18,S$6&lt;=$BE18),"実","外"),IF(AND(S$6&gt;=$BD18,S$6&lt;=$BE18),"計",IF(AND(S$6&gt;=$BH18,S$6&lt;=$BI18),"遅","")))))</f>
        <v/>
      </c>
      <c r="T18" s="93" t="str">
        <f>IF($BB18="","",IF(T$6=$BJ18,"◆",IF(AND(T$6&gt;=$BF18,T$6&lt;=$BG18),IF(AND(T$6&gt;=$BD18,T$6&lt;=$BE18),"実","外"),IF(AND(T$6&gt;=$BD18,T$6&lt;=$BE18),"計",IF(AND(T$6&gt;=$BH18,T$6&lt;=$BI18),"遅","")))))</f>
        <v/>
      </c>
      <c r="U18" s="93" t="str">
        <f>IF($BB18="","",IF(U$6=$BJ18,"◆",IF(AND(U$6&gt;=$BF18,U$6&lt;=$BG18),IF(AND(U$6&gt;=$BD18,U$6&lt;=$BE18),"実","外"),IF(AND(U$6&gt;=$BD18,U$6&lt;=$BE18),"計",IF(AND(U$6&gt;=$BH18,U$6&lt;=$BI18),"遅","")))))</f>
        <v/>
      </c>
      <c r="V18" s="93" t="str">
        <f>IF($BB18="","",IF(V$6=$BJ18,"◆",IF(AND(V$6&gt;=$BF18,V$6&lt;=$BG18),IF(AND(V$6&gt;=$BD18,V$6&lt;=$BE18),"実","外"),IF(AND(V$6&gt;=$BD18,V$6&lt;=$BE18),"計",IF(AND(V$6&gt;=$BH18,V$6&lt;=$BI18),"遅","")))))</f>
        <v/>
      </c>
      <c r="W18" s="93" t="str">
        <f>IF($BB18="","",IF(W$6=$BJ18,"◆",IF(AND(W$6&gt;=$BF18,W$6&lt;=$BG18),IF(AND(W$6&gt;=$BD18,W$6&lt;=$BE18),"実","外"),IF(AND(W$6&gt;=$BD18,W$6&lt;=$BE18),"計",IF(AND(W$6&gt;=$BH18,W$6&lt;=$BI18),"遅","")))))</f>
        <v/>
      </c>
      <c r="X18" s="93" t="str">
        <f>IF($BB18="","",IF(X$6=$BJ18,"◆",IF(AND(X$6&gt;=$BF18,X$6&lt;=$BG18),IF(AND(X$6&gt;=$BD18,X$6&lt;=$BE18),"実","外"),IF(AND(X$6&gt;=$BD18,X$6&lt;=$BE18),"計",IF(AND(X$6&gt;=$BH18,X$6&lt;=$BI18),"遅","")))))</f>
        <v/>
      </c>
      <c r="Y18" s="93" t="str">
        <f>IF($BB18="","",IF(Y$6=$BJ18,"◆",IF(AND(Y$6&gt;=$BF18,Y$6&lt;=$BG18),IF(AND(Y$6&gt;=$BD18,Y$6&lt;=$BE18),"実","外"),IF(AND(Y$6&gt;=$BD18,Y$6&lt;=$BE18),"計",IF(AND(Y$6&gt;=$BH18,Y$6&lt;=$BI18),"遅","")))))</f>
        <v>計</v>
      </c>
      <c r="Z18" s="93" t="str">
        <f>IF($BB18="","",IF(Z$6=$BJ18,"◆",IF(AND(Z$6&gt;=$BF18,Z$6&lt;=$BG18),IF(AND(Z$6&gt;=$BD18,Z$6&lt;=$BE18),"実","外"),IF(AND(Z$6&gt;=$BD18,Z$6&lt;=$BE18),"計",IF(AND(Z$6&gt;=$BH18,Z$6&lt;=$BI18),"遅","")))))</f>
        <v>計</v>
      </c>
      <c r="AA18" s="93" t="str">
        <f>IF($BB18="","",IF(AA$6=$BJ18,"◆",IF(AND(AA$6&gt;=$BF18,AA$6&lt;=$BG18),IF(AND(AA$6&gt;=$BD18,AA$6&lt;=$BE18),"実","外"),IF(AND(AA$6&gt;=$BD18,AA$6&lt;=$BE18),"計",IF(AND(AA$6&gt;=$BH18,AA$6&lt;=$BI18),"遅","")))))</f>
        <v>計</v>
      </c>
      <c r="AB18" s="93" t="str">
        <f>IF($BB18="","",IF(AB$6=$BJ18,"◆",IF(AND(AB$6&gt;=$BF18,AB$6&lt;=$BG18),IF(AND(AB$6&gt;=$BD18,AB$6&lt;=$BE18),"実","外"),IF(AND(AB$6&gt;=$BD18,AB$6&lt;=$BE18),"計",IF(AND(AB$6&gt;=$BH18,AB$6&lt;=$BI18),"遅","")))))</f>
        <v/>
      </c>
      <c r="AC18" s="93" t="str">
        <f>IF($BB18="","",IF(AC$6=$BJ18,"◆",IF(AND(AC$6&gt;=$BF18,AC$6&lt;=$BG18),IF(AND(AC$6&gt;=$BD18,AC$6&lt;=$BE18),"実","外"),IF(AND(AC$6&gt;=$BD18,AC$6&lt;=$BE18),"計",IF(AND(AC$6&gt;=$BH18,AC$6&lt;=$BI18),"遅","")))))</f>
        <v>◆</v>
      </c>
      <c r="AD18" s="93" t="str">
        <f>IF($BB18="","",IF(AD$6=$BJ18,"◆",IF(AND(AD$6&gt;=$BF18,AD$6&lt;=$BG18),IF(AND(AD$6&gt;=$BD18,AD$6&lt;=$BE18),"実","外"),IF(AND(AD$6&gt;=$BD18,AD$6&lt;=$BE18),"計",IF(AND(AD$6&gt;=$BH18,AD$6&lt;=$BI18),"遅","")))))</f>
        <v/>
      </c>
      <c r="AE18" s="93" t="str">
        <f>IF($BB18="","",IF(AE$6=$BJ18,"◆",IF(AND(AE$6&gt;=$BF18,AE$6&lt;=$BG18),IF(AND(AE$6&gt;=$BD18,AE$6&lt;=$BE18),"実","外"),IF(AND(AE$6&gt;=$BD18,AE$6&lt;=$BE18),"計",IF(AND(AE$6&gt;=$BH18,AE$6&lt;=$BI18),"遅","")))))</f>
        <v/>
      </c>
      <c r="AF18" s="93" t="str">
        <f>IF($BB18="","",IF(AF$6=$BJ18,"◆",IF(AND(AF$6&gt;=$BF18,AF$6&lt;=$BG18),IF(AND(AF$6&gt;=$BD18,AF$6&lt;=$BE18),"実","外"),IF(AND(AF$6&gt;=$BD18,AF$6&lt;=$BE18),"計",IF(AND(AF$6&gt;=$BH18,AF$6&lt;=$BI18),"遅","")))))</f>
        <v/>
      </c>
      <c r="AG18" s="93" t="str">
        <f>IF($BB18="","",IF(AG$6=$BJ18,"◆",IF(AND(AG$6&gt;=$BF18,AG$6&lt;=$BG18),IF(AND(AG$6&gt;=$BD18,AG$6&lt;=$BE18),"実","外"),IF(AND(AG$6&gt;=$BD18,AG$6&lt;=$BE18),"計",IF(AND(AG$6&gt;=$BH18,AG$6&lt;=$BI18),"遅","")))))</f>
        <v/>
      </c>
      <c r="AH18" s="93" t="str">
        <f>IF($BB18="","",IF(AH$6=$BJ18,"◆",IF(AND(AH$6&gt;=$BF18,AH$6&lt;=$BG18),IF(AND(AH$6&gt;=$BD18,AH$6&lt;=$BE18),"実","外"),IF(AND(AH$6&gt;=$BD18,AH$6&lt;=$BE18),"計",IF(AND(AH$6&gt;=$BH18,AH$6&lt;=$BI18),"遅","")))))</f>
        <v/>
      </c>
      <c r="AI18" s="93" t="str">
        <f>IF($BB18="","",IF(AI$6=$BJ18,"◆",IF(AND(AI$6&gt;=$BF18,AI$6&lt;=$BG18),IF(AND(AI$6&gt;=$BD18,AI$6&lt;=$BE18),"実","外"),IF(AND(AI$6&gt;=$BD18,AI$6&lt;=$BE18),"計",IF(AND(AI$6&gt;=$BH18,AI$6&lt;=$BI18),"遅","")))))</f>
        <v/>
      </c>
      <c r="AJ18" s="93" t="str">
        <f>IF($BB18="","",IF(AJ$6=$BJ18,"◆",IF(AND(AJ$6&gt;=$BF18,AJ$6&lt;=$BG18),IF(AND(AJ$6&gt;=$BD18,AJ$6&lt;=$BE18),"実","外"),IF(AND(AJ$6&gt;=$BD18,AJ$6&lt;=$BE18),"計",IF(AND(AJ$6&gt;=$BH18,AJ$6&lt;=$BI18),"遅","")))))</f>
        <v/>
      </c>
      <c r="AK18" s="93" t="str">
        <f>IF($BB18="","",IF(AK$6=$BJ18,"◆",IF(AND(AK$6&gt;=$BF18,AK$6&lt;=$BG18),IF(AND(AK$6&gt;=$BD18,AK$6&lt;=$BE18),"実","外"),IF(AND(AK$6&gt;=$BD18,AK$6&lt;=$BE18),"計",IF(AND(AK$6&gt;=$BH18,AK$6&lt;=$BI18),"遅","")))))</f>
        <v/>
      </c>
      <c r="AL18" s="93" t="str">
        <f>IF($BB18="","",IF(AL$6=$BJ18,"◆",IF(AND(AL$6&gt;=$BF18,AL$6&lt;=$BG18),IF(AND(AL$6&gt;=$BD18,AL$6&lt;=$BE18),"実","外"),IF(AND(AL$6&gt;=$BD18,AL$6&lt;=$BE18),"計",IF(AND(AL$6&gt;=$BH18,AL$6&lt;=$BI18),"遅","")))))</f>
        <v/>
      </c>
      <c r="AM18" s="93" t="str">
        <f>IF($BB18="","",IF(AM$6=$BJ18,"◆",IF(AND(AM$6&gt;=$BF18,AM$6&lt;=$BG18),IF(AND(AM$6&gt;=$BD18,AM$6&lt;=$BE18),"実","外"),IF(AND(AM$6&gt;=$BD18,AM$6&lt;=$BE18),"計",IF(AND(AM$6&gt;=$BH18,AM$6&lt;=$BI18),"遅","")))))</f>
        <v/>
      </c>
      <c r="AN18" s="93" t="str">
        <f>IF($BB18="","",IF(AN$6=$BJ18,"◆",IF(AND(AN$6&gt;=$BF18,AN$6&lt;=$BG18),IF(AND(AN$6&gt;=$BD18,AN$6&lt;=$BE18),"実","外"),IF(AND(AN$6&gt;=$BD18,AN$6&lt;=$BE18),"計",IF(AND(AN$6&gt;=$BH18,AN$6&lt;=$BI18),"遅","")))))</f>
        <v/>
      </c>
      <c r="AO18" s="93" t="str">
        <f>IF($BB18="","",IF(AO$6=$BJ18,"◆",IF(AND(AO$6&gt;=$BF18,AO$6&lt;=$BG18),IF(AND(AO$6&gt;=$BD18,AO$6&lt;=$BE18),"実","外"),IF(AND(AO$6&gt;=$BD18,AO$6&lt;=$BE18),"計",IF(AND(AO$6&gt;=$BH18,AO$6&lt;=$BI18),"遅","")))))</f>
        <v/>
      </c>
      <c r="AP18" s="93" t="str">
        <f>IF($BB18="","",IF(AP$6=$BJ18,"◆",IF(AND(AP$6&gt;=$BF18,AP$6&lt;=$BG18),IF(AND(AP$6&gt;=$BD18,AP$6&lt;=$BE18),"実","外"),IF(AND(AP$6&gt;=$BD18,AP$6&lt;=$BE18),"計",IF(AND(AP$6&gt;=$BH18,AP$6&lt;=$BI18),"遅","")))))</f>
        <v/>
      </c>
      <c r="AQ18" s="93" t="str">
        <f>IF($BB18="","",IF(AQ$6=$BJ18,"◆",IF(AND(AQ$6&gt;=$BF18,AQ$6&lt;=$BG18),IF(AND(AQ$6&gt;=$BD18,AQ$6&lt;=$BE18),"実","外"),IF(AND(AQ$6&gt;=$BD18,AQ$6&lt;=$BE18),"計",IF(AND(AQ$6&gt;=$BH18,AQ$6&lt;=$BI18),"遅","")))))</f>
        <v/>
      </c>
      <c r="AR18" s="93" t="str">
        <f>IF($BB18="","",IF(AR$6=$BJ18,"◆",IF(AND(AR$6&gt;=$BF18,AR$6&lt;=$BG18),IF(AND(AR$6&gt;=$BD18,AR$6&lt;=$BE18),"実","外"),IF(AND(AR$6&gt;=$BD18,AR$6&lt;=$BE18),"計",IF(AND(AR$6&gt;=$BH18,AR$6&lt;=$BI18),"遅","")))))</f>
        <v/>
      </c>
      <c r="AS18" s="93" t="str">
        <f>IF($BB18="","",IF(AS$6=$BJ18,"◆",IF(AND(AS$6&gt;=$BF18,AS$6&lt;=$BG18),IF(AND(AS$6&gt;=$BD18,AS$6&lt;=$BE18),"実","外"),IF(AND(AS$6&gt;=$BD18,AS$6&lt;=$BE18),"計",IF(AND(AS$6&gt;=$BH18,AS$6&lt;=$BI18),"遅","")))))</f>
        <v/>
      </c>
      <c r="AT18" s="93" t="str">
        <f>IF($BB18="","",IF(AT$6=$BJ18,"◆",IF(AND(AT$6&gt;=$BF18,AT$6&lt;=$BG18),IF(AND(AT$6&gt;=$BD18,AT$6&lt;=$BE18),"実","外"),IF(AND(AT$6&gt;=$BD18,AT$6&lt;=$BE18),"計",IF(AND(AT$6&gt;=$BH18,AT$6&lt;=$BI18),"遅","")))))</f>
        <v/>
      </c>
      <c r="AU18" s="93" t="str">
        <f>IF($BB18="","",IF(AU$6=$BJ18,"◆",IF(AND(AU$6&gt;=$BF18,AU$6&lt;=$BG18),IF(AND(AU$6&gt;=$BD18,AU$6&lt;=$BE18),"実","外"),IF(AND(AU$6&gt;=$BD18,AU$6&lt;=$BE18),"計",IF(AND(AU$6&gt;=$BH18,AU$6&lt;=$BI18),"遅","")))))</f>
        <v/>
      </c>
      <c r="AV18" s="93" t="str">
        <f>IF($BB18="","",IF(AV$6=$BJ18,"◆",IF(AND(AV$6&gt;=$BF18,AV$6&lt;=$BG18),IF(AND(AV$6&gt;=$BD18,AV$6&lt;=$BE18),"実","外"),IF(AND(AV$6&gt;=$BD18,AV$6&lt;=$BE18),"計",IF(AND(AV$6&gt;=$BH18,AV$6&lt;=$BI18),"遅","")))))</f>
        <v/>
      </c>
      <c r="AW18" s="93" t="str">
        <f>IF($BB18="","",IF(AW$6=$BJ18,"◆",IF(AND(AW$6&gt;=$BF18,AW$6&lt;=$BG18),IF(AND(AW$6&gt;=$BD18,AW$6&lt;=$BE18),"実","外"),IF(AND(AW$6&gt;=$BD18,AW$6&lt;=$BE18),"計",IF(AND(AW$6&gt;=$BH18,AW$6&lt;=$BI18),"遅","")))))</f>
        <v/>
      </c>
      <c r="AX18" s="93" t="str">
        <f>IF($BB18="","",IF(AX$6=$BJ18,"◆",IF(AND(AX$6&gt;=$BF18,AX$6&lt;=$BG18),IF(AND(AX$6&gt;=$BD18,AX$6&lt;=$BE18),"実","外"),IF(AND(AX$6&gt;=$BD18,AX$6&lt;=$BE18),"計",IF(AND(AX$6&gt;=$BH18,AX$6&lt;=$BI18),"遅","")))))</f>
        <v/>
      </c>
      <c r="AY18" s="93" t="str">
        <f>IF($BB18="","",IF(AY$6=$BJ18,"◆",IF(AND(AY$6&gt;=$BF18,AY$6&lt;=$BG18),IF(AND(AY$6&gt;=$BD18,AY$6&lt;=$BE18),"実","外"),IF(AND(AY$6&gt;=$BD18,AY$6&lt;=$BE18),"計",IF(AND(AY$6&gt;=$BH18,AY$6&lt;=$BI18),"遅","")))))</f>
        <v/>
      </c>
      <c r="AZ18" s="93" t="str">
        <f>IF($BB18="","",IF(AZ$6=$BJ18,"◆",IF(AND(AZ$6&gt;=$BF18,AZ$6&lt;=$BG18),IF(AND(AZ$6&gt;=$BD18,AZ$6&lt;=$BE18),"実","外"),IF(AND(AZ$6&gt;=$BD18,AZ$6&lt;=$BE18),"計",IF(AND(AZ$6&gt;=$BH18,AZ$6&lt;=$BI18),"遅","")))))</f>
        <v/>
      </c>
      <c r="BB18">
        <f>IF(11&gt;COUNTIF(tblSteps[日別対象],1),"",IFERROR(MATCH(11,tblSteps[日別順位],0),""))</f>
        <v>5</v>
      </c>
      <c r="BC18" t="str">
        <f>IF($BB18="","",INDEX(tblSteps[案件ID],$BB18)&amp;"")</f>
        <v>A0008</v>
      </c>
      <c r="BD18">
        <f>IF($BB18="","",INDEX(tblSteps[計開],$BB18))</f>
        <v>46307</v>
      </c>
      <c r="BE18">
        <f>IF($BB18="","",INDEX(tblSteps[計終],$BB18))</f>
        <v>46309</v>
      </c>
      <c r="BF18">
        <f>IF($BB18="","",INDEX(tblSteps[実開],$BB18))</f>
        <v>1</v>
      </c>
      <c r="BG18">
        <f>IF($BB18="","",INDEX(tblSteps[実終],$BB18))</f>
        <v>0</v>
      </c>
      <c r="BH18">
        <f>IF($BB18="","",INDEX(tblSteps[遅開],$BB18))</f>
        <v>46310</v>
      </c>
      <c r="BI18">
        <f>IF($BB18="","",INDEX(tblSteps[遅終],$BB18))</f>
        <v>0</v>
      </c>
      <c r="BJ18">
        <f>IF($BB18="","",INDEX(tblSteps[納期値],$BB18))</f>
        <v>46311</v>
      </c>
    </row>
    <row r="19" ht="18" customHeight="1">
      <c r="A19" s="89" t="str">
        <f>IF($BB19="","",INDEX(tblSteps[工程ID],$BB19)&amp;"")</f>
        <v>S0006</v>
      </c>
      <c r="B19" s="88" t="str">
        <f>IF($BB19="","",IF($BC19=$BC18,"",$BC19&amp;" "&amp;INDEX(tblSteps[案件名],$BB19)))</f>
        <v/>
      </c>
      <c r="C19" s="88" t="str">
        <f>IF($BB19="","",INDEX(tblSteps[工程名],$BB19)&amp;"")</f>
        <v>試運転・立会い</v>
      </c>
      <c r="D19" s="89" t="str">
        <f>IF($BB19="","",INDEX(tblSteps[担当],$BB19)&amp;"")</f>
        <v>田中</v>
      </c>
      <c r="E19" s="89" t="str">
        <f>IF($BB19="","",INDEX(tblSteps[状態],$BB19)&amp;"")</f>
        <v>未着手</v>
      </c>
      <c r="F19" s="90">
        <f>IF($BB19="","",IF(ISNUMBER(INDEX(tblSteps[進捗率],$BB19)),INDEX(tblSteps[進捗率],$BB19),""))</f>
        <v>0</v>
      </c>
      <c r="G19" s="91">
        <f>IF($BB19="","",IF(ISNUMBER(INDEX(tblSteps[計画開始日],$BB19)),INDEX(tblSteps[計画開始日],$BB19),"未入力"))</f>
        <v>46310.0</v>
      </c>
      <c r="H19" s="91">
        <f>IF($BB19="","",IF(ISNUMBER(INDEX(tblSteps[計画終了日],$BB19)),INDEX(tblSteps[計画終了日],$BB19),"未入力"))</f>
        <v>46311.0</v>
      </c>
      <c r="I19" s="91" t="str">
        <f>IF($BB19="","",IF(ISNUMBER(INDEX(tblSteps[完了見込日],$BB19)),INDEX(tblSteps[完了見込日],$BB19),""))</f>
        <v/>
      </c>
      <c r="J19" s="92" t="str">
        <f>IF($BB19="","",INDEX(tblSteps[注意短],$BB19)&amp;"")</f>
        <v/>
      </c>
      <c r="K19" s="93" t="str">
        <f>IF($BB19="","",IF(K$6=$BJ19,"◆",IF(AND(K$6&gt;=$BF19,K$6&lt;=$BG19),IF(AND(K$6&gt;=$BD19,K$6&lt;=$BE19),"実","外"),IF(AND(K$6&gt;=$BD19,K$6&lt;=$BE19),"計",IF(AND(K$6&gt;=$BH19,K$6&lt;=$BI19),"遅","")))))</f>
        <v/>
      </c>
      <c r="L19" s="93" t="str">
        <f>IF($BB19="","",IF(L$6=$BJ19,"◆",IF(AND(L$6&gt;=$BF19,L$6&lt;=$BG19),IF(AND(L$6&gt;=$BD19,L$6&lt;=$BE19),"実","外"),IF(AND(L$6&gt;=$BD19,L$6&lt;=$BE19),"計",IF(AND(L$6&gt;=$BH19,L$6&lt;=$BI19),"遅","")))))</f>
        <v/>
      </c>
      <c r="M19" s="93" t="str">
        <f>IF($BB19="","",IF(M$6=$BJ19,"◆",IF(AND(M$6&gt;=$BF19,M$6&lt;=$BG19),IF(AND(M$6&gt;=$BD19,M$6&lt;=$BE19),"実","外"),IF(AND(M$6&gt;=$BD19,M$6&lt;=$BE19),"計",IF(AND(M$6&gt;=$BH19,M$6&lt;=$BI19),"遅","")))))</f>
        <v/>
      </c>
      <c r="N19" s="93" t="str">
        <f>IF($BB19="","",IF(N$6=$BJ19,"◆",IF(AND(N$6&gt;=$BF19,N$6&lt;=$BG19),IF(AND(N$6&gt;=$BD19,N$6&lt;=$BE19),"実","外"),IF(AND(N$6&gt;=$BD19,N$6&lt;=$BE19),"計",IF(AND(N$6&gt;=$BH19,N$6&lt;=$BI19),"遅","")))))</f>
        <v/>
      </c>
      <c r="O19" s="93" t="str">
        <f>IF($BB19="","",IF(O$6=$BJ19,"◆",IF(AND(O$6&gt;=$BF19,O$6&lt;=$BG19),IF(AND(O$6&gt;=$BD19,O$6&lt;=$BE19),"実","外"),IF(AND(O$6&gt;=$BD19,O$6&lt;=$BE19),"計",IF(AND(O$6&gt;=$BH19,O$6&lt;=$BI19),"遅","")))))</f>
        <v/>
      </c>
      <c r="P19" s="93" t="str">
        <f>IF($BB19="","",IF(P$6=$BJ19,"◆",IF(AND(P$6&gt;=$BF19,P$6&lt;=$BG19),IF(AND(P$6&gt;=$BD19,P$6&lt;=$BE19),"実","外"),IF(AND(P$6&gt;=$BD19,P$6&lt;=$BE19),"計",IF(AND(P$6&gt;=$BH19,P$6&lt;=$BI19),"遅","")))))</f>
        <v/>
      </c>
      <c r="Q19" s="93" t="str">
        <f>IF($BB19="","",IF(Q$6=$BJ19,"◆",IF(AND(Q$6&gt;=$BF19,Q$6&lt;=$BG19),IF(AND(Q$6&gt;=$BD19,Q$6&lt;=$BE19),"実","外"),IF(AND(Q$6&gt;=$BD19,Q$6&lt;=$BE19),"計",IF(AND(Q$6&gt;=$BH19,Q$6&lt;=$BI19),"遅","")))))</f>
        <v/>
      </c>
      <c r="R19" s="93" t="str">
        <f>IF($BB19="","",IF(R$6=$BJ19,"◆",IF(AND(R$6&gt;=$BF19,R$6&lt;=$BG19),IF(AND(R$6&gt;=$BD19,R$6&lt;=$BE19),"実","外"),IF(AND(R$6&gt;=$BD19,R$6&lt;=$BE19),"計",IF(AND(R$6&gt;=$BH19,R$6&lt;=$BI19),"遅","")))))</f>
        <v/>
      </c>
      <c r="S19" s="93" t="str">
        <f>IF($BB19="","",IF(S$6=$BJ19,"◆",IF(AND(S$6&gt;=$BF19,S$6&lt;=$BG19),IF(AND(S$6&gt;=$BD19,S$6&lt;=$BE19),"実","外"),IF(AND(S$6&gt;=$BD19,S$6&lt;=$BE19),"計",IF(AND(S$6&gt;=$BH19,S$6&lt;=$BI19),"遅","")))))</f>
        <v/>
      </c>
      <c r="T19" s="93" t="str">
        <f>IF($BB19="","",IF(T$6=$BJ19,"◆",IF(AND(T$6&gt;=$BF19,T$6&lt;=$BG19),IF(AND(T$6&gt;=$BD19,T$6&lt;=$BE19),"実","外"),IF(AND(T$6&gt;=$BD19,T$6&lt;=$BE19),"計",IF(AND(T$6&gt;=$BH19,T$6&lt;=$BI19),"遅","")))))</f>
        <v/>
      </c>
      <c r="U19" s="93" t="str">
        <f>IF($BB19="","",IF(U$6=$BJ19,"◆",IF(AND(U$6&gt;=$BF19,U$6&lt;=$BG19),IF(AND(U$6&gt;=$BD19,U$6&lt;=$BE19),"実","外"),IF(AND(U$6&gt;=$BD19,U$6&lt;=$BE19),"計",IF(AND(U$6&gt;=$BH19,U$6&lt;=$BI19),"遅","")))))</f>
        <v/>
      </c>
      <c r="V19" s="93" t="str">
        <f>IF($BB19="","",IF(V$6=$BJ19,"◆",IF(AND(V$6&gt;=$BF19,V$6&lt;=$BG19),IF(AND(V$6&gt;=$BD19,V$6&lt;=$BE19),"実","外"),IF(AND(V$6&gt;=$BD19,V$6&lt;=$BE19),"計",IF(AND(V$6&gt;=$BH19,V$6&lt;=$BI19),"遅","")))))</f>
        <v/>
      </c>
      <c r="W19" s="93" t="str">
        <f>IF($BB19="","",IF(W$6=$BJ19,"◆",IF(AND(W$6&gt;=$BF19,W$6&lt;=$BG19),IF(AND(W$6&gt;=$BD19,W$6&lt;=$BE19),"実","外"),IF(AND(W$6&gt;=$BD19,W$6&lt;=$BE19),"計",IF(AND(W$6&gt;=$BH19,W$6&lt;=$BI19),"遅","")))))</f>
        <v/>
      </c>
      <c r="X19" s="93" t="str">
        <f>IF($BB19="","",IF(X$6=$BJ19,"◆",IF(AND(X$6&gt;=$BF19,X$6&lt;=$BG19),IF(AND(X$6&gt;=$BD19,X$6&lt;=$BE19),"実","外"),IF(AND(X$6&gt;=$BD19,X$6&lt;=$BE19),"計",IF(AND(X$6&gt;=$BH19,X$6&lt;=$BI19),"遅","")))))</f>
        <v/>
      </c>
      <c r="Y19" s="93" t="str">
        <f>IF($BB19="","",IF(Y$6=$BJ19,"◆",IF(AND(Y$6&gt;=$BF19,Y$6&lt;=$BG19),IF(AND(Y$6&gt;=$BD19,Y$6&lt;=$BE19),"実","外"),IF(AND(Y$6&gt;=$BD19,Y$6&lt;=$BE19),"計",IF(AND(Y$6&gt;=$BH19,Y$6&lt;=$BI19),"遅","")))))</f>
        <v/>
      </c>
      <c r="Z19" s="93" t="str">
        <f>IF($BB19="","",IF(Z$6=$BJ19,"◆",IF(AND(Z$6&gt;=$BF19,Z$6&lt;=$BG19),IF(AND(Z$6&gt;=$BD19,Z$6&lt;=$BE19),"実","外"),IF(AND(Z$6&gt;=$BD19,Z$6&lt;=$BE19),"計",IF(AND(Z$6&gt;=$BH19,Z$6&lt;=$BI19),"遅","")))))</f>
        <v/>
      </c>
      <c r="AA19" s="93" t="str">
        <f>IF($BB19="","",IF(AA$6=$BJ19,"◆",IF(AND(AA$6&gt;=$BF19,AA$6&lt;=$BG19),IF(AND(AA$6&gt;=$BD19,AA$6&lt;=$BE19),"実","外"),IF(AND(AA$6&gt;=$BD19,AA$6&lt;=$BE19),"計",IF(AND(AA$6&gt;=$BH19,AA$6&lt;=$BI19),"遅","")))))</f>
        <v/>
      </c>
      <c r="AB19" s="93" t="str">
        <f>IF($BB19="","",IF(AB$6=$BJ19,"◆",IF(AND(AB$6&gt;=$BF19,AB$6&lt;=$BG19),IF(AND(AB$6&gt;=$BD19,AB$6&lt;=$BE19),"実","外"),IF(AND(AB$6&gt;=$BD19,AB$6&lt;=$BE19),"計",IF(AND(AB$6&gt;=$BH19,AB$6&lt;=$BI19),"遅","")))))</f>
        <v>計</v>
      </c>
      <c r="AC19" s="93" t="str">
        <f>IF($BB19="","",IF(AC$6=$BJ19,"◆",IF(AND(AC$6&gt;=$BF19,AC$6&lt;=$BG19),IF(AND(AC$6&gt;=$BD19,AC$6&lt;=$BE19),"実","外"),IF(AND(AC$6&gt;=$BD19,AC$6&lt;=$BE19),"計",IF(AND(AC$6&gt;=$BH19,AC$6&lt;=$BI19),"遅","")))))</f>
        <v>◆</v>
      </c>
      <c r="AD19" s="93" t="str">
        <f>IF($BB19="","",IF(AD$6=$BJ19,"◆",IF(AND(AD$6&gt;=$BF19,AD$6&lt;=$BG19),IF(AND(AD$6&gt;=$BD19,AD$6&lt;=$BE19),"実","外"),IF(AND(AD$6&gt;=$BD19,AD$6&lt;=$BE19),"計",IF(AND(AD$6&gt;=$BH19,AD$6&lt;=$BI19),"遅","")))))</f>
        <v/>
      </c>
      <c r="AE19" s="93" t="str">
        <f>IF($BB19="","",IF(AE$6=$BJ19,"◆",IF(AND(AE$6&gt;=$BF19,AE$6&lt;=$BG19),IF(AND(AE$6&gt;=$BD19,AE$6&lt;=$BE19),"実","外"),IF(AND(AE$6&gt;=$BD19,AE$6&lt;=$BE19),"計",IF(AND(AE$6&gt;=$BH19,AE$6&lt;=$BI19),"遅","")))))</f>
        <v/>
      </c>
      <c r="AF19" s="93" t="str">
        <f>IF($BB19="","",IF(AF$6=$BJ19,"◆",IF(AND(AF$6&gt;=$BF19,AF$6&lt;=$BG19),IF(AND(AF$6&gt;=$BD19,AF$6&lt;=$BE19),"実","外"),IF(AND(AF$6&gt;=$BD19,AF$6&lt;=$BE19),"計",IF(AND(AF$6&gt;=$BH19,AF$6&lt;=$BI19),"遅","")))))</f>
        <v/>
      </c>
      <c r="AG19" s="93" t="str">
        <f>IF($BB19="","",IF(AG$6=$BJ19,"◆",IF(AND(AG$6&gt;=$BF19,AG$6&lt;=$BG19),IF(AND(AG$6&gt;=$BD19,AG$6&lt;=$BE19),"実","外"),IF(AND(AG$6&gt;=$BD19,AG$6&lt;=$BE19),"計",IF(AND(AG$6&gt;=$BH19,AG$6&lt;=$BI19),"遅","")))))</f>
        <v/>
      </c>
      <c r="AH19" s="93" t="str">
        <f>IF($BB19="","",IF(AH$6=$BJ19,"◆",IF(AND(AH$6&gt;=$BF19,AH$6&lt;=$BG19),IF(AND(AH$6&gt;=$BD19,AH$6&lt;=$BE19),"実","外"),IF(AND(AH$6&gt;=$BD19,AH$6&lt;=$BE19),"計",IF(AND(AH$6&gt;=$BH19,AH$6&lt;=$BI19),"遅","")))))</f>
        <v/>
      </c>
      <c r="AI19" s="93" t="str">
        <f>IF($BB19="","",IF(AI$6=$BJ19,"◆",IF(AND(AI$6&gt;=$BF19,AI$6&lt;=$BG19),IF(AND(AI$6&gt;=$BD19,AI$6&lt;=$BE19),"実","外"),IF(AND(AI$6&gt;=$BD19,AI$6&lt;=$BE19),"計",IF(AND(AI$6&gt;=$BH19,AI$6&lt;=$BI19),"遅","")))))</f>
        <v/>
      </c>
      <c r="AJ19" s="93" t="str">
        <f>IF($BB19="","",IF(AJ$6=$BJ19,"◆",IF(AND(AJ$6&gt;=$BF19,AJ$6&lt;=$BG19),IF(AND(AJ$6&gt;=$BD19,AJ$6&lt;=$BE19),"実","外"),IF(AND(AJ$6&gt;=$BD19,AJ$6&lt;=$BE19),"計",IF(AND(AJ$6&gt;=$BH19,AJ$6&lt;=$BI19),"遅","")))))</f>
        <v/>
      </c>
      <c r="AK19" s="93" t="str">
        <f>IF($BB19="","",IF(AK$6=$BJ19,"◆",IF(AND(AK$6&gt;=$BF19,AK$6&lt;=$BG19),IF(AND(AK$6&gt;=$BD19,AK$6&lt;=$BE19),"実","外"),IF(AND(AK$6&gt;=$BD19,AK$6&lt;=$BE19),"計",IF(AND(AK$6&gt;=$BH19,AK$6&lt;=$BI19),"遅","")))))</f>
        <v/>
      </c>
      <c r="AL19" s="93" t="str">
        <f>IF($BB19="","",IF(AL$6=$BJ19,"◆",IF(AND(AL$6&gt;=$BF19,AL$6&lt;=$BG19),IF(AND(AL$6&gt;=$BD19,AL$6&lt;=$BE19),"実","外"),IF(AND(AL$6&gt;=$BD19,AL$6&lt;=$BE19),"計",IF(AND(AL$6&gt;=$BH19,AL$6&lt;=$BI19),"遅","")))))</f>
        <v/>
      </c>
      <c r="AM19" s="93" t="str">
        <f>IF($BB19="","",IF(AM$6=$BJ19,"◆",IF(AND(AM$6&gt;=$BF19,AM$6&lt;=$BG19),IF(AND(AM$6&gt;=$BD19,AM$6&lt;=$BE19),"実","外"),IF(AND(AM$6&gt;=$BD19,AM$6&lt;=$BE19),"計",IF(AND(AM$6&gt;=$BH19,AM$6&lt;=$BI19),"遅","")))))</f>
        <v/>
      </c>
      <c r="AN19" s="93" t="str">
        <f>IF($BB19="","",IF(AN$6=$BJ19,"◆",IF(AND(AN$6&gt;=$BF19,AN$6&lt;=$BG19),IF(AND(AN$6&gt;=$BD19,AN$6&lt;=$BE19),"実","外"),IF(AND(AN$6&gt;=$BD19,AN$6&lt;=$BE19),"計",IF(AND(AN$6&gt;=$BH19,AN$6&lt;=$BI19),"遅","")))))</f>
        <v/>
      </c>
      <c r="AO19" s="93" t="str">
        <f>IF($BB19="","",IF(AO$6=$BJ19,"◆",IF(AND(AO$6&gt;=$BF19,AO$6&lt;=$BG19),IF(AND(AO$6&gt;=$BD19,AO$6&lt;=$BE19),"実","外"),IF(AND(AO$6&gt;=$BD19,AO$6&lt;=$BE19),"計",IF(AND(AO$6&gt;=$BH19,AO$6&lt;=$BI19),"遅","")))))</f>
        <v/>
      </c>
      <c r="AP19" s="93" t="str">
        <f>IF($BB19="","",IF(AP$6=$BJ19,"◆",IF(AND(AP$6&gt;=$BF19,AP$6&lt;=$BG19),IF(AND(AP$6&gt;=$BD19,AP$6&lt;=$BE19),"実","外"),IF(AND(AP$6&gt;=$BD19,AP$6&lt;=$BE19),"計",IF(AND(AP$6&gt;=$BH19,AP$6&lt;=$BI19),"遅","")))))</f>
        <v/>
      </c>
      <c r="AQ19" s="93" t="str">
        <f>IF($BB19="","",IF(AQ$6=$BJ19,"◆",IF(AND(AQ$6&gt;=$BF19,AQ$6&lt;=$BG19),IF(AND(AQ$6&gt;=$BD19,AQ$6&lt;=$BE19),"実","外"),IF(AND(AQ$6&gt;=$BD19,AQ$6&lt;=$BE19),"計",IF(AND(AQ$6&gt;=$BH19,AQ$6&lt;=$BI19),"遅","")))))</f>
        <v/>
      </c>
      <c r="AR19" s="93" t="str">
        <f>IF($BB19="","",IF(AR$6=$BJ19,"◆",IF(AND(AR$6&gt;=$BF19,AR$6&lt;=$BG19),IF(AND(AR$6&gt;=$BD19,AR$6&lt;=$BE19),"実","外"),IF(AND(AR$6&gt;=$BD19,AR$6&lt;=$BE19),"計",IF(AND(AR$6&gt;=$BH19,AR$6&lt;=$BI19),"遅","")))))</f>
        <v/>
      </c>
      <c r="AS19" s="93" t="str">
        <f>IF($BB19="","",IF(AS$6=$BJ19,"◆",IF(AND(AS$6&gt;=$BF19,AS$6&lt;=$BG19),IF(AND(AS$6&gt;=$BD19,AS$6&lt;=$BE19),"実","外"),IF(AND(AS$6&gt;=$BD19,AS$6&lt;=$BE19),"計",IF(AND(AS$6&gt;=$BH19,AS$6&lt;=$BI19),"遅","")))))</f>
        <v/>
      </c>
      <c r="AT19" s="93" t="str">
        <f>IF($BB19="","",IF(AT$6=$BJ19,"◆",IF(AND(AT$6&gt;=$BF19,AT$6&lt;=$BG19),IF(AND(AT$6&gt;=$BD19,AT$6&lt;=$BE19),"実","外"),IF(AND(AT$6&gt;=$BD19,AT$6&lt;=$BE19),"計",IF(AND(AT$6&gt;=$BH19,AT$6&lt;=$BI19),"遅","")))))</f>
        <v/>
      </c>
      <c r="AU19" s="93" t="str">
        <f>IF($BB19="","",IF(AU$6=$BJ19,"◆",IF(AND(AU$6&gt;=$BF19,AU$6&lt;=$BG19),IF(AND(AU$6&gt;=$BD19,AU$6&lt;=$BE19),"実","外"),IF(AND(AU$6&gt;=$BD19,AU$6&lt;=$BE19),"計",IF(AND(AU$6&gt;=$BH19,AU$6&lt;=$BI19),"遅","")))))</f>
        <v/>
      </c>
      <c r="AV19" s="93" t="str">
        <f>IF($BB19="","",IF(AV$6=$BJ19,"◆",IF(AND(AV$6&gt;=$BF19,AV$6&lt;=$BG19),IF(AND(AV$6&gt;=$BD19,AV$6&lt;=$BE19),"実","外"),IF(AND(AV$6&gt;=$BD19,AV$6&lt;=$BE19),"計",IF(AND(AV$6&gt;=$BH19,AV$6&lt;=$BI19),"遅","")))))</f>
        <v/>
      </c>
      <c r="AW19" s="93" t="str">
        <f>IF($BB19="","",IF(AW$6=$BJ19,"◆",IF(AND(AW$6&gt;=$BF19,AW$6&lt;=$BG19),IF(AND(AW$6&gt;=$BD19,AW$6&lt;=$BE19),"実","外"),IF(AND(AW$6&gt;=$BD19,AW$6&lt;=$BE19),"計",IF(AND(AW$6&gt;=$BH19,AW$6&lt;=$BI19),"遅","")))))</f>
        <v/>
      </c>
      <c r="AX19" s="93" t="str">
        <f>IF($BB19="","",IF(AX$6=$BJ19,"◆",IF(AND(AX$6&gt;=$BF19,AX$6&lt;=$BG19),IF(AND(AX$6&gt;=$BD19,AX$6&lt;=$BE19),"実","外"),IF(AND(AX$6&gt;=$BD19,AX$6&lt;=$BE19),"計",IF(AND(AX$6&gt;=$BH19,AX$6&lt;=$BI19),"遅","")))))</f>
        <v/>
      </c>
      <c r="AY19" s="93" t="str">
        <f>IF($BB19="","",IF(AY$6=$BJ19,"◆",IF(AND(AY$6&gt;=$BF19,AY$6&lt;=$BG19),IF(AND(AY$6&gt;=$BD19,AY$6&lt;=$BE19),"実","外"),IF(AND(AY$6&gt;=$BD19,AY$6&lt;=$BE19),"計",IF(AND(AY$6&gt;=$BH19,AY$6&lt;=$BI19),"遅","")))))</f>
        <v/>
      </c>
      <c r="AZ19" s="93" t="str">
        <f>IF($BB19="","",IF(AZ$6=$BJ19,"◆",IF(AND(AZ$6&gt;=$BF19,AZ$6&lt;=$BG19),IF(AND(AZ$6&gt;=$BD19,AZ$6&lt;=$BE19),"実","外"),IF(AND(AZ$6&gt;=$BD19,AZ$6&lt;=$BE19),"計",IF(AND(AZ$6&gt;=$BH19,AZ$6&lt;=$BI19),"遅","")))))</f>
        <v/>
      </c>
      <c r="BB19">
        <f>IF(12&gt;COUNTIF(tblSteps[日別対象],1),"",IFERROR(MATCH(12,tblSteps[日別順位],0),""))</f>
        <v>6</v>
      </c>
      <c r="BC19" t="str">
        <f>IF($BB19="","",INDEX(tblSteps[案件ID],$BB19)&amp;"")</f>
        <v>A0008</v>
      </c>
      <c r="BD19">
        <f>IF($BB19="","",INDEX(tblSteps[計開],$BB19))</f>
        <v>46310</v>
      </c>
      <c r="BE19">
        <f>IF($BB19="","",INDEX(tblSteps[計終],$BB19))</f>
        <v>46311</v>
      </c>
      <c r="BF19">
        <f>IF($BB19="","",INDEX(tblSteps[実開],$BB19))</f>
        <v>1</v>
      </c>
      <c r="BG19">
        <f>IF($BB19="","",INDEX(tblSteps[実終],$BB19))</f>
        <v>0</v>
      </c>
      <c r="BH19">
        <f>IF($BB19="","",INDEX(tblSteps[遅開],$BB19))</f>
        <v>46312</v>
      </c>
      <c r="BI19">
        <f>IF($BB19="","",INDEX(tblSteps[遅終],$BB19))</f>
        <v>0</v>
      </c>
      <c r="BJ19">
        <f>IF($BB19="","",INDEX(tblSteps[納期値],$BB19))</f>
        <v>46311</v>
      </c>
    </row>
    <row r="20" ht="18" customHeight="1">
      <c r="A20" s="89" t="str">
        <f>IF($BB20="","",INDEX(tblSteps[工程ID],$BB20)&amp;"")</f>
        <v>S0011</v>
      </c>
      <c r="B20" s="88" t="str">
        <f>IF($BB20="","",IF($BC20=$BC19,"",$BC20&amp;" "&amp;INDEX(tblSteps[案件名],$BB20)))</f>
        <v>A0021 自動倉庫コンベヤ増設工事</v>
      </c>
      <c r="C20" s="88" t="str">
        <f>IF($BB20="","",INDEX(tblSteps[工程名],$BB20)&amp;"")</f>
        <v>部材の発注・製作</v>
      </c>
      <c r="D20" s="89" t="str">
        <f>IF($BB20="","",INDEX(tblSteps[担当],$BB20)&amp;"")</f>
        <v>協力会社C</v>
      </c>
      <c r="E20" s="89" t="str">
        <f>IF($BB20="","",INDEX(tblSteps[状態],$BB20)&amp;"")</f>
        <v>進行中</v>
      </c>
      <c r="F20" s="90">
        <f>IF($BB20="","",IF(ISNUMBER(INDEX(tblSteps[進捗率],$BB20)),INDEX(tblSteps[進捗率],$BB20),""))</f>
        <v>0.7</v>
      </c>
      <c r="G20" s="91">
        <f>IF($BB20="","",IF(ISNUMBER(INDEX(tblSteps[計画開始日],$BB20)),INDEX(tblSteps[計画開始日],$BB20),"未入力"))</f>
        <v>46286.0</v>
      </c>
      <c r="H20" s="91">
        <f>IF($BB20="","",IF(ISNUMBER(INDEX(tblSteps[計画終了日],$BB20)),INDEX(tblSteps[計画終了日],$BB20),"未入力"))</f>
        <v>46304.0</v>
      </c>
      <c r="I20" s="91" t="str">
        <f>IF($BB20="","",IF(ISNUMBER(INDEX(tblSteps[完了見込日],$BB20)),INDEX(tblSteps[完了見込日],$BB20),""))</f>
        <v/>
      </c>
      <c r="J20" s="92" t="str">
        <f>IF($BB20="","",INDEX(tblSteps[注意短],$BB20)&amp;"")</f>
        <v/>
      </c>
      <c r="K20" s="93" t="str">
        <f>IF($BB20="","",IF(K$6=$BJ20,"◆",IF(AND(K$6&gt;=$BF20,K$6&lt;=$BG20),IF(AND(K$6&gt;=$BD20,K$6&lt;=$BE20),"実","外"),IF(AND(K$6&gt;=$BD20,K$6&lt;=$BE20),"計",IF(AND(K$6&gt;=$BH20,K$6&lt;=$BI20),"遅","")))))</f>
        <v>実</v>
      </c>
      <c r="L20" s="93" t="str">
        <f>IF($BB20="","",IF(L$6=$BJ20,"◆",IF(AND(L$6&gt;=$BF20,L$6&lt;=$BG20),IF(AND(L$6&gt;=$BD20,L$6&lt;=$BE20),"実","外"),IF(AND(L$6&gt;=$BD20,L$6&lt;=$BE20),"計",IF(AND(L$6&gt;=$BH20,L$6&lt;=$BI20),"遅","")))))</f>
        <v>実</v>
      </c>
      <c r="M20" s="93" t="str">
        <f>IF($BB20="","",IF(M$6=$BJ20,"◆",IF(AND(M$6&gt;=$BF20,M$6&lt;=$BG20),IF(AND(M$6&gt;=$BD20,M$6&lt;=$BE20),"実","外"),IF(AND(M$6&gt;=$BD20,M$6&lt;=$BE20),"計",IF(AND(M$6&gt;=$BH20,M$6&lt;=$BI20),"遅","")))))</f>
        <v>実</v>
      </c>
      <c r="N20" s="93" t="str">
        <f>IF($BB20="","",IF(N$6=$BJ20,"◆",IF(AND(N$6&gt;=$BF20,N$6&lt;=$BG20),IF(AND(N$6&gt;=$BD20,N$6&lt;=$BE20),"実","外"),IF(AND(N$6&gt;=$BD20,N$6&lt;=$BE20),"計",IF(AND(N$6&gt;=$BH20,N$6&lt;=$BI20),"遅","")))))</f>
        <v>実</v>
      </c>
      <c r="O20" s="93" t="str">
        <f>IF($BB20="","",IF(O$6=$BJ20,"◆",IF(AND(O$6&gt;=$BF20,O$6&lt;=$BG20),IF(AND(O$6&gt;=$BD20,O$6&lt;=$BE20),"実","外"),IF(AND(O$6&gt;=$BD20,O$6&lt;=$BE20),"計",IF(AND(O$6&gt;=$BH20,O$6&lt;=$BI20),"遅","")))))</f>
        <v>実</v>
      </c>
      <c r="P20" s="93" t="str">
        <f>IF($BB20="","",IF(P$6=$BJ20,"◆",IF(AND(P$6&gt;=$BF20,P$6&lt;=$BG20),IF(AND(P$6&gt;=$BD20,P$6&lt;=$BE20),"実","外"),IF(AND(P$6&gt;=$BD20,P$6&lt;=$BE20),"計",IF(AND(P$6&gt;=$BH20,P$6&lt;=$BI20),"遅","")))))</f>
        <v>実</v>
      </c>
      <c r="Q20" s="93" t="str">
        <f>IF($BB20="","",IF(Q$6=$BJ20,"◆",IF(AND(Q$6&gt;=$BF20,Q$6&lt;=$BG20),IF(AND(Q$6&gt;=$BD20,Q$6&lt;=$BE20),"実","外"),IF(AND(Q$6&gt;=$BD20,Q$6&lt;=$BE20),"計",IF(AND(Q$6&gt;=$BH20,Q$6&lt;=$BI20),"遅","")))))</f>
        <v>実</v>
      </c>
      <c r="R20" s="93" t="str">
        <f>IF($BB20="","",IF(R$6=$BJ20,"◆",IF(AND(R$6&gt;=$BF20,R$6&lt;=$BG20),IF(AND(R$6&gt;=$BD20,R$6&lt;=$BE20),"実","外"),IF(AND(R$6&gt;=$BD20,R$6&lt;=$BE20),"計",IF(AND(R$6&gt;=$BH20,R$6&lt;=$BI20),"遅","")))))</f>
        <v>実</v>
      </c>
      <c r="S20" s="93" t="str">
        <f>IF($BB20="","",IF(S$6=$BJ20,"◆",IF(AND(S$6&gt;=$BF20,S$6&lt;=$BG20),IF(AND(S$6&gt;=$BD20,S$6&lt;=$BE20),"実","外"),IF(AND(S$6&gt;=$BD20,S$6&lt;=$BE20),"計",IF(AND(S$6&gt;=$BH20,S$6&lt;=$BI20),"遅","")))))</f>
        <v>計</v>
      </c>
      <c r="T20" s="93" t="str">
        <f>IF($BB20="","",IF(T$6=$BJ20,"◆",IF(AND(T$6&gt;=$BF20,T$6&lt;=$BG20),IF(AND(T$6&gt;=$BD20,T$6&lt;=$BE20),"実","外"),IF(AND(T$6&gt;=$BD20,T$6&lt;=$BE20),"計",IF(AND(T$6&gt;=$BH20,T$6&lt;=$BI20),"遅","")))))</f>
        <v>計</v>
      </c>
      <c r="U20" s="93" t="str">
        <f>IF($BB20="","",IF(U$6=$BJ20,"◆",IF(AND(U$6&gt;=$BF20,U$6&lt;=$BG20),IF(AND(U$6&gt;=$BD20,U$6&lt;=$BE20),"実","外"),IF(AND(U$6&gt;=$BD20,U$6&lt;=$BE20),"計",IF(AND(U$6&gt;=$BH20,U$6&lt;=$BI20),"遅","")))))</f>
        <v>計</v>
      </c>
      <c r="V20" s="93" t="str">
        <f>IF($BB20="","",IF(V$6=$BJ20,"◆",IF(AND(V$6&gt;=$BF20,V$6&lt;=$BG20),IF(AND(V$6&gt;=$BD20,V$6&lt;=$BE20),"実","外"),IF(AND(V$6&gt;=$BD20,V$6&lt;=$BE20),"計",IF(AND(V$6&gt;=$BH20,V$6&lt;=$BI20),"遅","")))))</f>
        <v>計</v>
      </c>
      <c r="W20" s="93" t="str">
        <f>IF($BB20="","",IF(W$6=$BJ20,"◆",IF(AND(W$6&gt;=$BF20,W$6&lt;=$BG20),IF(AND(W$6&gt;=$BD20,W$6&lt;=$BE20),"実","外"),IF(AND(W$6&gt;=$BD20,W$6&lt;=$BE20),"計",IF(AND(W$6&gt;=$BH20,W$6&lt;=$BI20),"遅","")))))</f>
        <v/>
      </c>
      <c r="X20" s="93" t="str">
        <f>IF($BB20="","",IF(X$6=$BJ20,"◆",IF(AND(X$6&gt;=$BF20,X$6&lt;=$BG20),IF(AND(X$6&gt;=$BD20,X$6&lt;=$BE20),"実","外"),IF(AND(X$6&gt;=$BD20,X$6&lt;=$BE20),"計",IF(AND(X$6&gt;=$BH20,X$6&lt;=$BI20),"遅","")))))</f>
        <v/>
      </c>
      <c r="Y20" s="93" t="str">
        <f>IF($BB20="","",IF(Y$6=$BJ20,"◆",IF(AND(Y$6&gt;=$BF20,Y$6&lt;=$BG20),IF(AND(Y$6&gt;=$BD20,Y$6&lt;=$BE20),"実","外"),IF(AND(Y$6&gt;=$BD20,Y$6&lt;=$BE20),"計",IF(AND(Y$6&gt;=$BH20,Y$6&lt;=$BI20),"遅","")))))</f>
        <v/>
      </c>
      <c r="Z20" s="93" t="str">
        <f>IF($BB20="","",IF(Z$6=$BJ20,"◆",IF(AND(Z$6&gt;=$BF20,Z$6&lt;=$BG20),IF(AND(Z$6&gt;=$BD20,Z$6&lt;=$BE20),"実","外"),IF(AND(Z$6&gt;=$BD20,Z$6&lt;=$BE20),"計",IF(AND(Z$6&gt;=$BH20,Z$6&lt;=$BI20),"遅","")))))</f>
        <v/>
      </c>
      <c r="AA20" s="93" t="str">
        <f>IF($BB20="","",IF(AA$6=$BJ20,"◆",IF(AND(AA$6&gt;=$BF20,AA$6&lt;=$BG20),IF(AND(AA$6&gt;=$BD20,AA$6&lt;=$BE20),"実","外"),IF(AND(AA$6&gt;=$BD20,AA$6&lt;=$BE20),"計",IF(AND(AA$6&gt;=$BH20,AA$6&lt;=$BI20),"遅","")))))</f>
        <v/>
      </c>
      <c r="AB20" s="93" t="str">
        <f>IF($BB20="","",IF(AB$6=$BJ20,"◆",IF(AND(AB$6&gt;=$BF20,AB$6&lt;=$BG20),IF(AND(AB$6&gt;=$BD20,AB$6&lt;=$BE20),"実","外"),IF(AND(AB$6&gt;=$BD20,AB$6&lt;=$BE20),"計",IF(AND(AB$6&gt;=$BH20,AB$6&lt;=$BI20),"遅","")))))</f>
        <v/>
      </c>
      <c r="AC20" s="93" t="str">
        <f>IF($BB20="","",IF(AC$6=$BJ20,"◆",IF(AND(AC$6&gt;=$BF20,AC$6&lt;=$BG20),IF(AND(AC$6&gt;=$BD20,AC$6&lt;=$BE20),"実","外"),IF(AND(AC$6&gt;=$BD20,AC$6&lt;=$BE20),"計",IF(AND(AC$6&gt;=$BH20,AC$6&lt;=$BI20),"遅","")))))</f>
        <v/>
      </c>
      <c r="AD20" s="93" t="str">
        <f>IF($BB20="","",IF(AD$6=$BJ20,"◆",IF(AND(AD$6&gt;=$BF20,AD$6&lt;=$BG20),IF(AND(AD$6&gt;=$BD20,AD$6&lt;=$BE20),"実","外"),IF(AND(AD$6&gt;=$BD20,AD$6&lt;=$BE20),"計",IF(AND(AD$6&gt;=$BH20,AD$6&lt;=$BI20),"遅","")))))</f>
        <v/>
      </c>
      <c r="AE20" s="93" t="str">
        <f>IF($BB20="","",IF(AE$6=$BJ20,"◆",IF(AND(AE$6&gt;=$BF20,AE$6&lt;=$BG20),IF(AND(AE$6&gt;=$BD20,AE$6&lt;=$BE20),"実","外"),IF(AND(AE$6&gt;=$BD20,AE$6&lt;=$BE20),"計",IF(AND(AE$6&gt;=$BH20,AE$6&lt;=$BI20),"遅","")))))</f>
        <v/>
      </c>
      <c r="AF20" s="93" t="str">
        <f>IF($BB20="","",IF(AF$6=$BJ20,"◆",IF(AND(AF$6&gt;=$BF20,AF$6&lt;=$BG20),IF(AND(AF$6&gt;=$BD20,AF$6&lt;=$BE20),"実","外"),IF(AND(AF$6&gt;=$BD20,AF$6&lt;=$BE20),"計",IF(AND(AF$6&gt;=$BH20,AF$6&lt;=$BI20),"遅","")))))</f>
        <v/>
      </c>
      <c r="AG20" s="93" t="str">
        <f>IF($BB20="","",IF(AG$6=$BJ20,"◆",IF(AND(AG$6&gt;=$BF20,AG$6&lt;=$BG20),IF(AND(AG$6&gt;=$BD20,AG$6&lt;=$BE20),"実","外"),IF(AND(AG$6&gt;=$BD20,AG$6&lt;=$BE20),"計",IF(AND(AG$6&gt;=$BH20,AG$6&lt;=$BI20),"遅","")))))</f>
        <v/>
      </c>
      <c r="AH20" s="93" t="str">
        <f>IF($BB20="","",IF(AH$6=$BJ20,"◆",IF(AND(AH$6&gt;=$BF20,AH$6&lt;=$BG20),IF(AND(AH$6&gt;=$BD20,AH$6&lt;=$BE20),"実","外"),IF(AND(AH$6&gt;=$BD20,AH$6&lt;=$BE20),"計",IF(AND(AH$6&gt;=$BH20,AH$6&lt;=$BI20),"遅","")))))</f>
        <v/>
      </c>
      <c r="AI20" s="93" t="str">
        <f>IF($BB20="","",IF(AI$6=$BJ20,"◆",IF(AND(AI$6&gt;=$BF20,AI$6&lt;=$BG20),IF(AND(AI$6&gt;=$BD20,AI$6&lt;=$BE20),"実","外"),IF(AND(AI$6&gt;=$BD20,AI$6&lt;=$BE20),"計",IF(AND(AI$6&gt;=$BH20,AI$6&lt;=$BI20),"遅","")))))</f>
        <v/>
      </c>
      <c r="AJ20" s="93" t="str">
        <f>IF($BB20="","",IF(AJ$6=$BJ20,"◆",IF(AND(AJ$6&gt;=$BF20,AJ$6&lt;=$BG20),IF(AND(AJ$6&gt;=$BD20,AJ$6&lt;=$BE20),"実","外"),IF(AND(AJ$6&gt;=$BD20,AJ$6&lt;=$BE20),"計",IF(AND(AJ$6&gt;=$BH20,AJ$6&lt;=$BI20),"遅","")))))</f>
        <v/>
      </c>
      <c r="AK20" s="93" t="str">
        <f>IF($BB20="","",IF(AK$6=$BJ20,"◆",IF(AND(AK$6&gt;=$BF20,AK$6&lt;=$BG20),IF(AND(AK$6&gt;=$BD20,AK$6&lt;=$BE20),"実","外"),IF(AND(AK$6&gt;=$BD20,AK$6&lt;=$BE20),"計",IF(AND(AK$6&gt;=$BH20,AK$6&lt;=$BI20),"遅","")))))</f>
        <v/>
      </c>
      <c r="AL20" s="93" t="str">
        <f>IF($BB20="","",IF(AL$6=$BJ20,"◆",IF(AND(AL$6&gt;=$BF20,AL$6&lt;=$BG20),IF(AND(AL$6&gt;=$BD20,AL$6&lt;=$BE20),"実","外"),IF(AND(AL$6&gt;=$BD20,AL$6&lt;=$BE20),"計",IF(AND(AL$6&gt;=$BH20,AL$6&lt;=$BI20),"遅","")))))</f>
        <v/>
      </c>
      <c r="AM20" s="93" t="str">
        <f>IF($BB20="","",IF(AM$6=$BJ20,"◆",IF(AND(AM$6&gt;=$BF20,AM$6&lt;=$BG20),IF(AND(AM$6&gt;=$BD20,AM$6&lt;=$BE20),"実","外"),IF(AND(AM$6&gt;=$BD20,AM$6&lt;=$BE20),"計",IF(AND(AM$6&gt;=$BH20,AM$6&lt;=$BI20),"遅","")))))</f>
        <v/>
      </c>
      <c r="AN20" s="93" t="str">
        <f>IF($BB20="","",IF(AN$6=$BJ20,"◆",IF(AND(AN$6&gt;=$BF20,AN$6&lt;=$BG20),IF(AND(AN$6&gt;=$BD20,AN$6&lt;=$BE20),"実","外"),IF(AND(AN$6&gt;=$BD20,AN$6&lt;=$BE20),"計",IF(AND(AN$6&gt;=$BH20,AN$6&lt;=$BI20),"遅","")))))</f>
        <v/>
      </c>
      <c r="AO20" s="93" t="str">
        <f>IF($BB20="","",IF(AO$6=$BJ20,"◆",IF(AND(AO$6&gt;=$BF20,AO$6&lt;=$BG20),IF(AND(AO$6&gt;=$BD20,AO$6&lt;=$BE20),"実","外"),IF(AND(AO$6&gt;=$BD20,AO$6&lt;=$BE20),"計",IF(AND(AO$6&gt;=$BH20,AO$6&lt;=$BI20),"遅","")))))</f>
        <v/>
      </c>
      <c r="AP20" s="93" t="str">
        <f>IF($BB20="","",IF(AP$6=$BJ20,"◆",IF(AND(AP$6&gt;=$BF20,AP$6&lt;=$BG20),IF(AND(AP$6&gt;=$BD20,AP$6&lt;=$BE20),"実","外"),IF(AND(AP$6&gt;=$BD20,AP$6&lt;=$BE20),"計",IF(AND(AP$6&gt;=$BH20,AP$6&lt;=$BI20),"遅","")))))</f>
        <v/>
      </c>
      <c r="AQ20" s="93" t="str">
        <f>IF($BB20="","",IF(AQ$6=$BJ20,"◆",IF(AND(AQ$6&gt;=$BF20,AQ$6&lt;=$BG20),IF(AND(AQ$6&gt;=$BD20,AQ$6&lt;=$BE20),"実","外"),IF(AND(AQ$6&gt;=$BD20,AQ$6&lt;=$BE20),"計",IF(AND(AQ$6&gt;=$BH20,AQ$6&lt;=$BI20),"遅","")))))</f>
        <v>◆</v>
      </c>
      <c r="AR20" s="93" t="str">
        <f>IF($BB20="","",IF(AR$6=$BJ20,"◆",IF(AND(AR$6&gt;=$BF20,AR$6&lt;=$BG20),IF(AND(AR$6&gt;=$BD20,AR$6&lt;=$BE20),"実","外"),IF(AND(AR$6&gt;=$BD20,AR$6&lt;=$BE20),"計",IF(AND(AR$6&gt;=$BH20,AR$6&lt;=$BI20),"遅","")))))</f>
        <v/>
      </c>
      <c r="AS20" s="93" t="str">
        <f>IF($BB20="","",IF(AS$6=$BJ20,"◆",IF(AND(AS$6&gt;=$BF20,AS$6&lt;=$BG20),IF(AND(AS$6&gt;=$BD20,AS$6&lt;=$BE20),"実","外"),IF(AND(AS$6&gt;=$BD20,AS$6&lt;=$BE20),"計",IF(AND(AS$6&gt;=$BH20,AS$6&lt;=$BI20),"遅","")))))</f>
        <v/>
      </c>
      <c r="AT20" s="93" t="str">
        <f>IF($BB20="","",IF(AT$6=$BJ20,"◆",IF(AND(AT$6&gt;=$BF20,AT$6&lt;=$BG20),IF(AND(AT$6&gt;=$BD20,AT$6&lt;=$BE20),"実","外"),IF(AND(AT$6&gt;=$BD20,AT$6&lt;=$BE20),"計",IF(AND(AT$6&gt;=$BH20,AT$6&lt;=$BI20),"遅","")))))</f>
        <v/>
      </c>
      <c r="AU20" s="93" t="str">
        <f>IF($BB20="","",IF(AU$6=$BJ20,"◆",IF(AND(AU$6&gt;=$BF20,AU$6&lt;=$BG20),IF(AND(AU$6&gt;=$BD20,AU$6&lt;=$BE20),"実","外"),IF(AND(AU$6&gt;=$BD20,AU$6&lt;=$BE20),"計",IF(AND(AU$6&gt;=$BH20,AU$6&lt;=$BI20),"遅","")))))</f>
        <v/>
      </c>
      <c r="AV20" s="93" t="str">
        <f>IF($BB20="","",IF(AV$6=$BJ20,"◆",IF(AND(AV$6&gt;=$BF20,AV$6&lt;=$BG20),IF(AND(AV$6&gt;=$BD20,AV$6&lt;=$BE20),"実","外"),IF(AND(AV$6&gt;=$BD20,AV$6&lt;=$BE20),"計",IF(AND(AV$6&gt;=$BH20,AV$6&lt;=$BI20),"遅","")))))</f>
        <v/>
      </c>
      <c r="AW20" s="93" t="str">
        <f>IF($BB20="","",IF(AW$6=$BJ20,"◆",IF(AND(AW$6&gt;=$BF20,AW$6&lt;=$BG20),IF(AND(AW$6&gt;=$BD20,AW$6&lt;=$BE20),"実","外"),IF(AND(AW$6&gt;=$BD20,AW$6&lt;=$BE20),"計",IF(AND(AW$6&gt;=$BH20,AW$6&lt;=$BI20),"遅","")))))</f>
        <v/>
      </c>
      <c r="AX20" s="93" t="str">
        <f>IF($BB20="","",IF(AX$6=$BJ20,"◆",IF(AND(AX$6&gt;=$BF20,AX$6&lt;=$BG20),IF(AND(AX$6&gt;=$BD20,AX$6&lt;=$BE20),"実","外"),IF(AND(AX$6&gt;=$BD20,AX$6&lt;=$BE20),"計",IF(AND(AX$6&gt;=$BH20,AX$6&lt;=$BI20),"遅","")))))</f>
        <v/>
      </c>
      <c r="AY20" s="93" t="str">
        <f>IF($BB20="","",IF(AY$6=$BJ20,"◆",IF(AND(AY$6&gt;=$BF20,AY$6&lt;=$BG20),IF(AND(AY$6&gt;=$BD20,AY$6&lt;=$BE20),"実","外"),IF(AND(AY$6&gt;=$BD20,AY$6&lt;=$BE20),"計",IF(AND(AY$6&gt;=$BH20,AY$6&lt;=$BI20),"遅","")))))</f>
        <v/>
      </c>
      <c r="AZ20" s="93" t="str">
        <f>IF($BB20="","",IF(AZ$6=$BJ20,"◆",IF(AND(AZ$6&gt;=$BF20,AZ$6&lt;=$BG20),IF(AND(AZ$6&gt;=$BD20,AZ$6&lt;=$BE20),"実","外"),IF(AND(AZ$6&gt;=$BD20,AZ$6&lt;=$BE20),"計",IF(AND(AZ$6&gt;=$BH20,AZ$6&lt;=$BI20),"遅","")))))</f>
        <v/>
      </c>
      <c r="BB20">
        <f>IF(13&gt;COUNTIF(tblSteps[日別対象],1),"",IFERROR(MATCH(13,tblSteps[日別順位],0),""))</f>
        <v>11</v>
      </c>
      <c r="BC20" t="str">
        <f>IF($BB20="","",INDEX(tblSteps[案件ID],$BB20)&amp;"")</f>
        <v>A0021</v>
      </c>
      <c r="BD20">
        <f>IF($BB20="","",INDEX(tblSteps[計開],$BB20))</f>
        <v>46286</v>
      </c>
      <c r="BE20">
        <f>IF($BB20="","",INDEX(tblSteps[計終],$BB20))</f>
        <v>46304</v>
      </c>
      <c r="BF20">
        <f>IF($BB20="","",INDEX(tblSteps[実開],$BB20))</f>
        <v>46286</v>
      </c>
      <c r="BG20">
        <f>IF($BB20="","",INDEX(tblSteps[実終],$BB20))</f>
        <v>46300</v>
      </c>
      <c r="BH20">
        <f>IF($BB20="","",INDEX(tblSteps[遅開],$BB20))</f>
        <v>46305</v>
      </c>
      <c r="BI20">
        <f>IF($BB20="","",INDEX(tblSteps[遅終],$BB20))</f>
        <v>0</v>
      </c>
      <c r="BJ20">
        <f>IF($BB20="","",INDEX(tblSteps[納期値],$BB20))</f>
        <v>46325</v>
      </c>
    </row>
    <row r="21" ht="18" customHeight="1">
      <c r="A21" s="89" t="str">
        <f>IF($BB21="","",INDEX(tblSteps[工程ID],$BB21)&amp;"")</f>
        <v>S0012</v>
      </c>
      <c r="B21" s="88" t="str">
        <f>IF($BB21="","",IF($BC21=$BC20,"",$BC21&amp;" "&amp;INDEX(tblSteps[案件名],$BB21)))</f>
        <v/>
      </c>
      <c r="C21" s="88" t="str">
        <f>IF($BB21="","",INDEX(tblSteps[工程名],$BB21)&amp;"")</f>
        <v>既設撤去の立会い（夜間）</v>
      </c>
      <c r="D21" s="89" t="str">
        <f>IF($BB21="","",INDEX(tblSteps[担当],$BB21)&amp;"")</f>
        <v>高橋</v>
      </c>
      <c r="E21" s="89" t="str">
        <f>IF($BB21="","",INDEX(tblSteps[状態],$BB21)&amp;"")</f>
        <v>未着手</v>
      </c>
      <c r="F21" s="90">
        <f>IF($BB21="","",IF(ISNUMBER(INDEX(tblSteps[進捗率],$BB21)),INDEX(tblSteps[進捗率],$BB21),""))</f>
        <v>0</v>
      </c>
      <c r="G21" s="91">
        <f>IF($BB21="","",IF(ISNUMBER(INDEX(tblSteps[計画開始日],$BB21)),INDEX(tblSteps[計画開始日],$BB21),"未入力"))</f>
        <v>46300.0</v>
      </c>
      <c r="H21" s="91">
        <f>IF($BB21="","",IF(ISNUMBER(INDEX(tblSteps[計画終了日],$BB21)),INDEX(tblSteps[計画終了日],$BB21),"未入力"))</f>
        <v>46301.0</v>
      </c>
      <c r="I21" s="91" t="str">
        <f>IF($BB21="","",IF(ISNUMBER(INDEX(tblSteps[完了見込日],$BB21)),INDEX(tblSteps[完了見込日],$BB21),""))</f>
        <v/>
      </c>
      <c r="J21" s="92" t="str">
        <f>IF($BB21="","",INDEX(tblSteps[注意短],$BB21)&amp;"")</f>
        <v/>
      </c>
      <c r="K21" s="93" t="str">
        <f>IF($BB21="","",IF(K$6=$BJ21,"◆",IF(AND(K$6&gt;=$BF21,K$6&lt;=$BG21),IF(AND(K$6&gt;=$BD21,K$6&lt;=$BE21),"実","外"),IF(AND(K$6&gt;=$BD21,K$6&lt;=$BE21),"計",IF(AND(K$6&gt;=$BH21,K$6&lt;=$BI21),"遅","")))))</f>
        <v/>
      </c>
      <c r="L21" s="93" t="str">
        <f>IF($BB21="","",IF(L$6=$BJ21,"◆",IF(AND(L$6&gt;=$BF21,L$6&lt;=$BG21),IF(AND(L$6&gt;=$BD21,L$6&lt;=$BE21),"実","外"),IF(AND(L$6&gt;=$BD21,L$6&lt;=$BE21),"計",IF(AND(L$6&gt;=$BH21,L$6&lt;=$BI21),"遅","")))))</f>
        <v/>
      </c>
      <c r="M21" s="93" t="str">
        <f>IF($BB21="","",IF(M$6=$BJ21,"◆",IF(AND(M$6&gt;=$BF21,M$6&lt;=$BG21),IF(AND(M$6&gt;=$BD21,M$6&lt;=$BE21),"実","外"),IF(AND(M$6&gt;=$BD21,M$6&lt;=$BE21),"計",IF(AND(M$6&gt;=$BH21,M$6&lt;=$BI21),"遅","")))))</f>
        <v/>
      </c>
      <c r="N21" s="93" t="str">
        <f>IF($BB21="","",IF(N$6=$BJ21,"◆",IF(AND(N$6&gt;=$BF21,N$6&lt;=$BG21),IF(AND(N$6&gt;=$BD21,N$6&lt;=$BE21),"実","外"),IF(AND(N$6&gt;=$BD21,N$6&lt;=$BE21),"計",IF(AND(N$6&gt;=$BH21,N$6&lt;=$BI21),"遅","")))))</f>
        <v/>
      </c>
      <c r="O21" s="93" t="str">
        <f>IF($BB21="","",IF(O$6=$BJ21,"◆",IF(AND(O$6&gt;=$BF21,O$6&lt;=$BG21),IF(AND(O$6&gt;=$BD21,O$6&lt;=$BE21),"実","外"),IF(AND(O$6&gt;=$BD21,O$6&lt;=$BE21),"計",IF(AND(O$6&gt;=$BH21,O$6&lt;=$BI21),"遅","")))))</f>
        <v/>
      </c>
      <c r="P21" s="93" t="str">
        <f>IF($BB21="","",IF(P$6=$BJ21,"◆",IF(AND(P$6&gt;=$BF21,P$6&lt;=$BG21),IF(AND(P$6&gt;=$BD21,P$6&lt;=$BE21),"実","外"),IF(AND(P$6&gt;=$BD21,P$6&lt;=$BE21),"計",IF(AND(P$6&gt;=$BH21,P$6&lt;=$BI21),"遅","")))))</f>
        <v/>
      </c>
      <c r="Q21" s="93" t="str">
        <f>IF($BB21="","",IF(Q$6=$BJ21,"◆",IF(AND(Q$6&gt;=$BF21,Q$6&lt;=$BG21),IF(AND(Q$6&gt;=$BD21,Q$6&lt;=$BE21),"実","外"),IF(AND(Q$6&gt;=$BD21,Q$6&lt;=$BE21),"計",IF(AND(Q$6&gt;=$BH21,Q$6&lt;=$BI21),"遅","")))))</f>
        <v/>
      </c>
      <c r="R21" s="93" t="str">
        <f>IF($BB21="","",IF(R$6=$BJ21,"◆",IF(AND(R$6&gt;=$BF21,R$6&lt;=$BG21),IF(AND(R$6&gt;=$BD21,R$6&lt;=$BE21),"実","外"),IF(AND(R$6&gt;=$BD21,R$6&lt;=$BE21),"計",IF(AND(R$6&gt;=$BH21,R$6&lt;=$BI21),"遅","")))))</f>
        <v>計</v>
      </c>
      <c r="S21" s="93" t="str">
        <f>IF($BB21="","",IF(S$6=$BJ21,"◆",IF(AND(S$6&gt;=$BF21,S$6&lt;=$BG21),IF(AND(S$6&gt;=$BD21,S$6&lt;=$BE21),"実","外"),IF(AND(S$6&gt;=$BD21,S$6&lt;=$BE21),"計",IF(AND(S$6&gt;=$BH21,S$6&lt;=$BI21),"遅","")))))</f>
        <v>計</v>
      </c>
      <c r="T21" s="93" t="str">
        <f>IF($BB21="","",IF(T$6=$BJ21,"◆",IF(AND(T$6&gt;=$BF21,T$6&lt;=$BG21),IF(AND(T$6&gt;=$BD21,T$6&lt;=$BE21),"実","外"),IF(AND(T$6&gt;=$BD21,T$6&lt;=$BE21),"計",IF(AND(T$6&gt;=$BH21,T$6&lt;=$BI21),"遅","")))))</f>
        <v/>
      </c>
      <c r="U21" s="93" t="str">
        <f>IF($BB21="","",IF(U$6=$BJ21,"◆",IF(AND(U$6&gt;=$BF21,U$6&lt;=$BG21),IF(AND(U$6&gt;=$BD21,U$6&lt;=$BE21),"実","外"),IF(AND(U$6&gt;=$BD21,U$6&lt;=$BE21),"計",IF(AND(U$6&gt;=$BH21,U$6&lt;=$BI21),"遅","")))))</f>
        <v/>
      </c>
      <c r="V21" s="93" t="str">
        <f>IF($BB21="","",IF(V$6=$BJ21,"◆",IF(AND(V$6&gt;=$BF21,V$6&lt;=$BG21),IF(AND(V$6&gt;=$BD21,V$6&lt;=$BE21),"実","外"),IF(AND(V$6&gt;=$BD21,V$6&lt;=$BE21),"計",IF(AND(V$6&gt;=$BH21,V$6&lt;=$BI21),"遅","")))))</f>
        <v/>
      </c>
      <c r="W21" s="93" t="str">
        <f>IF($BB21="","",IF(W$6=$BJ21,"◆",IF(AND(W$6&gt;=$BF21,W$6&lt;=$BG21),IF(AND(W$6&gt;=$BD21,W$6&lt;=$BE21),"実","外"),IF(AND(W$6&gt;=$BD21,W$6&lt;=$BE21),"計",IF(AND(W$6&gt;=$BH21,W$6&lt;=$BI21),"遅","")))))</f>
        <v/>
      </c>
      <c r="X21" s="93" t="str">
        <f>IF($BB21="","",IF(X$6=$BJ21,"◆",IF(AND(X$6&gt;=$BF21,X$6&lt;=$BG21),IF(AND(X$6&gt;=$BD21,X$6&lt;=$BE21),"実","外"),IF(AND(X$6&gt;=$BD21,X$6&lt;=$BE21),"計",IF(AND(X$6&gt;=$BH21,X$6&lt;=$BI21),"遅","")))))</f>
        <v/>
      </c>
      <c r="Y21" s="93" t="str">
        <f>IF($BB21="","",IF(Y$6=$BJ21,"◆",IF(AND(Y$6&gt;=$BF21,Y$6&lt;=$BG21),IF(AND(Y$6&gt;=$BD21,Y$6&lt;=$BE21),"実","外"),IF(AND(Y$6&gt;=$BD21,Y$6&lt;=$BE21),"計",IF(AND(Y$6&gt;=$BH21,Y$6&lt;=$BI21),"遅","")))))</f>
        <v/>
      </c>
      <c r="Z21" s="93" t="str">
        <f>IF($BB21="","",IF(Z$6=$BJ21,"◆",IF(AND(Z$6&gt;=$BF21,Z$6&lt;=$BG21),IF(AND(Z$6&gt;=$BD21,Z$6&lt;=$BE21),"実","外"),IF(AND(Z$6&gt;=$BD21,Z$6&lt;=$BE21),"計",IF(AND(Z$6&gt;=$BH21,Z$6&lt;=$BI21),"遅","")))))</f>
        <v/>
      </c>
      <c r="AA21" s="93" t="str">
        <f>IF($BB21="","",IF(AA$6=$BJ21,"◆",IF(AND(AA$6&gt;=$BF21,AA$6&lt;=$BG21),IF(AND(AA$6&gt;=$BD21,AA$6&lt;=$BE21),"実","外"),IF(AND(AA$6&gt;=$BD21,AA$6&lt;=$BE21),"計",IF(AND(AA$6&gt;=$BH21,AA$6&lt;=$BI21),"遅","")))))</f>
        <v/>
      </c>
      <c r="AB21" s="93" t="str">
        <f>IF($BB21="","",IF(AB$6=$BJ21,"◆",IF(AND(AB$6&gt;=$BF21,AB$6&lt;=$BG21),IF(AND(AB$6&gt;=$BD21,AB$6&lt;=$BE21),"実","外"),IF(AND(AB$6&gt;=$BD21,AB$6&lt;=$BE21),"計",IF(AND(AB$6&gt;=$BH21,AB$6&lt;=$BI21),"遅","")))))</f>
        <v/>
      </c>
      <c r="AC21" s="93" t="str">
        <f>IF($BB21="","",IF(AC$6=$BJ21,"◆",IF(AND(AC$6&gt;=$BF21,AC$6&lt;=$BG21),IF(AND(AC$6&gt;=$BD21,AC$6&lt;=$BE21),"実","外"),IF(AND(AC$6&gt;=$BD21,AC$6&lt;=$BE21),"計",IF(AND(AC$6&gt;=$BH21,AC$6&lt;=$BI21),"遅","")))))</f>
        <v/>
      </c>
      <c r="AD21" s="93" t="str">
        <f>IF($BB21="","",IF(AD$6=$BJ21,"◆",IF(AND(AD$6&gt;=$BF21,AD$6&lt;=$BG21),IF(AND(AD$6&gt;=$BD21,AD$6&lt;=$BE21),"実","外"),IF(AND(AD$6&gt;=$BD21,AD$6&lt;=$BE21),"計",IF(AND(AD$6&gt;=$BH21,AD$6&lt;=$BI21),"遅","")))))</f>
        <v/>
      </c>
      <c r="AE21" s="93" t="str">
        <f>IF($BB21="","",IF(AE$6=$BJ21,"◆",IF(AND(AE$6&gt;=$BF21,AE$6&lt;=$BG21),IF(AND(AE$6&gt;=$BD21,AE$6&lt;=$BE21),"実","外"),IF(AND(AE$6&gt;=$BD21,AE$6&lt;=$BE21),"計",IF(AND(AE$6&gt;=$BH21,AE$6&lt;=$BI21),"遅","")))))</f>
        <v/>
      </c>
      <c r="AF21" s="93" t="str">
        <f>IF($BB21="","",IF(AF$6=$BJ21,"◆",IF(AND(AF$6&gt;=$BF21,AF$6&lt;=$BG21),IF(AND(AF$6&gt;=$BD21,AF$6&lt;=$BE21),"実","外"),IF(AND(AF$6&gt;=$BD21,AF$6&lt;=$BE21),"計",IF(AND(AF$6&gt;=$BH21,AF$6&lt;=$BI21),"遅","")))))</f>
        <v/>
      </c>
      <c r="AG21" s="93" t="str">
        <f>IF($BB21="","",IF(AG$6=$BJ21,"◆",IF(AND(AG$6&gt;=$BF21,AG$6&lt;=$BG21),IF(AND(AG$6&gt;=$BD21,AG$6&lt;=$BE21),"実","外"),IF(AND(AG$6&gt;=$BD21,AG$6&lt;=$BE21),"計",IF(AND(AG$6&gt;=$BH21,AG$6&lt;=$BI21),"遅","")))))</f>
        <v/>
      </c>
      <c r="AH21" s="93" t="str">
        <f>IF($BB21="","",IF(AH$6=$BJ21,"◆",IF(AND(AH$6&gt;=$BF21,AH$6&lt;=$BG21),IF(AND(AH$6&gt;=$BD21,AH$6&lt;=$BE21),"実","外"),IF(AND(AH$6&gt;=$BD21,AH$6&lt;=$BE21),"計",IF(AND(AH$6&gt;=$BH21,AH$6&lt;=$BI21),"遅","")))))</f>
        <v/>
      </c>
      <c r="AI21" s="93" t="str">
        <f>IF($BB21="","",IF(AI$6=$BJ21,"◆",IF(AND(AI$6&gt;=$BF21,AI$6&lt;=$BG21),IF(AND(AI$6&gt;=$BD21,AI$6&lt;=$BE21),"実","外"),IF(AND(AI$6&gt;=$BD21,AI$6&lt;=$BE21),"計",IF(AND(AI$6&gt;=$BH21,AI$6&lt;=$BI21),"遅","")))))</f>
        <v/>
      </c>
      <c r="AJ21" s="93" t="str">
        <f>IF($BB21="","",IF(AJ$6=$BJ21,"◆",IF(AND(AJ$6&gt;=$BF21,AJ$6&lt;=$BG21),IF(AND(AJ$6&gt;=$BD21,AJ$6&lt;=$BE21),"実","外"),IF(AND(AJ$6&gt;=$BD21,AJ$6&lt;=$BE21),"計",IF(AND(AJ$6&gt;=$BH21,AJ$6&lt;=$BI21),"遅","")))))</f>
        <v/>
      </c>
      <c r="AK21" s="93" t="str">
        <f>IF($BB21="","",IF(AK$6=$BJ21,"◆",IF(AND(AK$6&gt;=$BF21,AK$6&lt;=$BG21),IF(AND(AK$6&gt;=$BD21,AK$6&lt;=$BE21),"実","外"),IF(AND(AK$6&gt;=$BD21,AK$6&lt;=$BE21),"計",IF(AND(AK$6&gt;=$BH21,AK$6&lt;=$BI21),"遅","")))))</f>
        <v/>
      </c>
      <c r="AL21" s="93" t="str">
        <f>IF($BB21="","",IF(AL$6=$BJ21,"◆",IF(AND(AL$6&gt;=$BF21,AL$6&lt;=$BG21),IF(AND(AL$6&gt;=$BD21,AL$6&lt;=$BE21),"実","外"),IF(AND(AL$6&gt;=$BD21,AL$6&lt;=$BE21),"計",IF(AND(AL$6&gt;=$BH21,AL$6&lt;=$BI21),"遅","")))))</f>
        <v/>
      </c>
      <c r="AM21" s="93" t="str">
        <f>IF($BB21="","",IF(AM$6=$BJ21,"◆",IF(AND(AM$6&gt;=$BF21,AM$6&lt;=$BG21),IF(AND(AM$6&gt;=$BD21,AM$6&lt;=$BE21),"実","外"),IF(AND(AM$6&gt;=$BD21,AM$6&lt;=$BE21),"計",IF(AND(AM$6&gt;=$BH21,AM$6&lt;=$BI21),"遅","")))))</f>
        <v/>
      </c>
      <c r="AN21" s="93" t="str">
        <f>IF($BB21="","",IF(AN$6=$BJ21,"◆",IF(AND(AN$6&gt;=$BF21,AN$6&lt;=$BG21),IF(AND(AN$6&gt;=$BD21,AN$6&lt;=$BE21),"実","外"),IF(AND(AN$6&gt;=$BD21,AN$6&lt;=$BE21),"計",IF(AND(AN$6&gt;=$BH21,AN$6&lt;=$BI21),"遅","")))))</f>
        <v/>
      </c>
      <c r="AO21" s="93" t="str">
        <f>IF($BB21="","",IF(AO$6=$BJ21,"◆",IF(AND(AO$6&gt;=$BF21,AO$6&lt;=$BG21),IF(AND(AO$6&gt;=$BD21,AO$6&lt;=$BE21),"実","外"),IF(AND(AO$6&gt;=$BD21,AO$6&lt;=$BE21),"計",IF(AND(AO$6&gt;=$BH21,AO$6&lt;=$BI21),"遅","")))))</f>
        <v/>
      </c>
      <c r="AP21" s="93" t="str">
        <f>IF($BB21="","",IF(AP$6=$BJ21,"◆",IF(AND(AP$6&gt;=$BF21,AP$6&lt;=$BG21),IF(AND(AP$6&gt;=$BD21,AP$6&lt;=$BE21),"実","外"),IF(AND(AP$6&gt;=$BD21,AP$6&lt;=$BE21),"計",IF(AND(AP$6&gt;=$BH21,AP$6&lt;=$BI21),"遅","")))))</f>
        <v/>
      </c>
      <c r="AQ21" s="93" t="str">
        <f>IF($BB21="","",IF(AQ$6=$BJ21,"◆",IF(AND(AQ$6&gt;=$BF21,AQ$6&lt;=$BG21),IF(AND(AQ$6&gt;=$BD21,AQ$6&lt;=$BE21),"実","外"),IF(AND(AQ$6&gt;=$BD21,AQ$6&lt;=$BE21),"計",IF(AND(AQ$6&gt;=$BH21,AQ$6&lt;=$BI21),"遅","")))))</f>
        <v>◆</v>
      </c>
      <c r="AR21" s="93" t="str">
        <f>IF($BB21="","",IF(AR$6=$BJ21,"◆",IF(AND(AR$6&gt;=$BF21,AR$6&lt;=$BG21),IF(AND(AR$6&gt;=$BD21,AR$6&lt;=$BE21),"実","外"),IF(AND(AR$6&gt;=$BD21,AR$6&lt;=$BE21),"計",IF(AND(AR$6&gt;=$BH21,AR$6&lt;=$BI21),"遅","")))))</f>
        <v/>
      </c>
      <c r="AS21" s="93" t="str">
        <f>IF($BB21="","",IF(AS$6=$BJ21,"◆",IF(AND(AS$6&gt;=$BF21,AS$6&lt;=$BG21),IF(AND(AS$6&gt;=$BD21,AS$6&lt;=$BE21),"実","外"),IF(AND(AS$6&gt;=$BD21,AS$6&lt;=$BE21),"計",IF(AND(AS$6&gt;=$BH21,AS$6&lt;=$BI21),"遅","")))))</f>
        <v/>
      </c>
      <c r="AT21" s="93" t="str">
        <f>IF($BB21="","",IF(AT$6=$BJ21,"◆",IF(AND(AT$6&gt;=$BF21,AT$6&lt;=$BG21),IF(AND(AT$6&gt;=$BD21,AT$6&lt;=$BE21),"実","外"),IF(AND(AT$6&gt;=$BD21,AT$6&lt;=$BE21),"計",IF(AND(AT$6&gt;=$BH21,AT$6&lt;=$BI21),"遅","")))))</f>
        <v/>
      </c>
      <c r="AU21" s="93" t="str">
        <f>IF($BB21="","",IF(AU$6=$BJ21,"◆",IF(AND(AU$6&gt;=$BF21,AU$6&lt;=$BG21),IF(AND(AU$6&gt;=$BD21,AU$6&lt;=$BE21),"実","外"),IF(AND(AU$6&gt;=$BD21,AU$6&lt;=$BE21),"計",IF(AND(AU$6&gt;=$BH21,AU$6&lt;=$BI21),"遅","")))))</f>
        <v/>
      </c>
      <c r="AV21" s="93" t="str">
        <f>IF($BB21="","",IF(AV$6=$BJ21,"◆",IF(AND(AV$6&gt;=$BF21,AV$6&lt;=$BG21),IF(AND(AV$6&gt;=$BD21,AV$6&lt;=$BE21),"実","外"),IF(AND(AV$6&gt;=$BD21,AV$6&lt;=$BE21),"計",IF(AND(AV$6&gt;=$BH21,AV$6&lt;=$BI21),"遅","")))))</f>
        <v/>
      </c>
      <c r="AW21" s="93" t="str">
        <f>IF($BB21="","",IF(AW$6=$BJ21,"◆",IF(AND(AW$6&gt;=$BF21,AW$6&lt;=$BG21),IF(AND(AW$6&gt;=$BD21,AW$6&lt;=$BE21),"実","外"),IF(AND(AW$6&gt;=$BD21,AW$6&lt;=$BE21),"計",IF(AND(AW$6&gt;=$BH21,AW$6&lt;=$BI21),"遅","")))))</f>
        <v/>
      </c>
      <c r="AX21" s="93" t="str">
        <f>IF($BB21="","",IF(AX$6=$BJ21,"◆",IF(AND(AX$6&gt;=$BF21,AX$6&lt;=$BG21),IF(AND(AX$6&gt;=$BD21,AX$6&lt;=$BE21),"実","外"),IF(AND(AX$6&gt;=$BD21,AX$6&lt;=$BE21),"計",IF(AND(AX$6&gt;=$BH21,AX$6&lt;=$BI21),"遅","")))))</f>
        <v/>
      </c>
      <c r="AY21" s="93" t="str">
        <f>IF($BB21="","",IF(AY$6=$BJ21,"◆",IF(AND(AY$6&gt;=$BF21,AY$6&lt;=$BG21),IF(AND(AY$6&gt;=$BD21,AY$6&lt;=$BE21),"実","外"),IF(AND(AY$6&gt;=$BD21,AY$6&lt;=$BE21),"計",IF(AND(AY$6&gt;=$BH21,AY$6&lt;=$BI21),"遅","")))))</f>
        <v/>
      </c>
      <c r="AZ21" s="93" t="str">
        <f>IF($BB21="","",IF(AZ$6=$BJ21,"◆",IF(AND(AZ$6&gt;=$BF21,AZ$6&lt;=$BG21),IF(AND(AZ$6&gt;=$BD21,AZ$6&lt;=$BE21),"実","外"),IF(AND(AZ$6&gt;=$BD21,AZ$6&lt;=$BE21),"計",IF(AND(AZ$6&gt;=$BH21,AZ$6&lt;=$BI21),"遅","")))))</f>
        <v/>
      </c>
      <c r="BB21">
        <f>IF(14&gt;COUNTIF(tblSteps[日別対象],1),"",IFERROR(MATCH(14,tblSteps[日別順位],0),""))</f>
        <v>12</v>
      </c>
      <c r="BC21" t="str">
        <f>IF($BB21="","",INDEX(tblSteps[案件ID],$BB21)&amp;"")</f>
        <v>A0021</v>
      </c>
      <c r="BD21">
        <f>IF($BB21="","",INDEX(tblSteps[計開],$BB21))</f>
        <v>46300</v>
      </c>
      <c r="BE21">
        <f>IF($BB21="","",INDEX(tblSteps[計終],$BB21))</f>
        <v>46301</v>
      </c>
      <c r="BF21">
        <f>IF($BB21="","",INDEX(tblSteps[実開],$BB21))</f>
        <v>1</v>
      </c>
      <c r="BG21">
        <f>IF($BB21="","",INDEX(tblSteps[実終],$BB21))</f>
        <v>0</v>
      </c>
      <c r="BH21">
        <f>IF($BB21="","",INDEX(tblSteps[遅開],$BB21))</f>
        <v>46302</v>
      </c>
      <c r="BI21">
        <f>IF($BB21="","",INDEX(tblSteps[遅終],$BB21))</f>
        <v>0</v>
      </c>
      <c r="BJ21">
        <f>IF($BB21="","",INDEX(tblSteps[納期値],$BB21))</f>
        <v>46325</v>
      </c>
    </row>
    <row r="22" ht="18" customHeight="1">
      <c r="A22" s="89" t="str">
        <f>IF($BB22="","",INDEX(tblSteps[工程ID],$BB22)&amp;"")</f>
        <v>S0026</v>
      </c>
      <c r="B22" s="88" t="str">
        <f>IF($BB22="","",IF($BC22=$BC21,"",$BC22&amp;" "&amp;INDEX(tblSteps[案件名],$BB22)))</f>
        <v/>
      </c>
      <c r="C22" s="88" t="str">
        <f>IF($BB22="","",INDEX(tblSteps[工程名],$BB22)&amp;"")</f>
        <v>施工前ミーティング</v>
      </c>
      <c r="D22" s="89" t="str">
        <f>IF($BB22="","",INDEX(tblSteps[担当],$BB22)&amp;"")</f>
        <v>高橋</v>
      </c>
      <c r="E22" s="89" t="str">
        <f>IF($BB22="","",INDEX(tblSteps[状態],$BB22)&amp;"")</f>
        <v>未着手</v>
      </c>
      <c r="F22" s="90">
        <f>IF($BB22="","",IF(ISNUMBER(INDEX(tblSteps[進捗率],$BB22)),INDEX(tblSteps[進捗率],$BB22),""))</f>
        <v>0</v>
      </c>
      <c r="G22" s="91">
        <f>IF($BB22="","",IF(ISNUMBER(INDEX(tblSteps[計画開始日],$BB22)),INDEX(tblSteps[計画開始日],$BB22),"未入力"))</f>
        <v>46300.0</v>
      </c>
      <c r="H22" s="91">
        <f>IF($BB22="","",IF(ISNUMBER(INDEX(tblSteps[計画終了日],$BB22)),INDEX(tblSteps[計画終了日],$BB22),"未入力"))</f>
        <v>46300.0</v>
      </c>
      <c r="I22" s="91" t="str">
        <f>IF($BB22="","",IF(ISNUMBER(INDEX(tblSteps[完了見込日],$BB22)),INDEX(tblSteps[完了見込日],$BB22),""))</f>
        <v/>
      </c>
      <c r="J22" s="92" t="str">
        <f>IF($BB22="","",INDEX(tblSteps[注意短],$BB22)&amp;"")</f>
        <v/>
      </c>
      <c r="K22" s="93" t="str">
        <f>IF($BB22="","",IF(K$6=$BJ22,"◆",IF(AND(K$6&gt;=$BF22,K$6&lt;=$BG22),IF(AND(K$6&gt;=$BD22,K$6&lt;=$BE22),"実","外"),IF(AND(K$6&gt;=$BD22,K$6&lt;=$BE22),"計",IF(AND(K$6&gt;=$BH22,K$6&lt;=$BI22),"遅","")))))</f>
        <v/>
      </c>
      <c r="L22" s="93" t="str">
        <f>IF($BB22="","",IF(L$6=$BJ22,"◆",IF(AND(L$6&gt;=$BF22,L$6&lt;=$BG22),IF(AND(L$6&gt;=$BD22,L$6&lt;=$BE22),"実","外"),IF(AND(L$6&gt;=$BD22,L$6&lt;=$BE22),"計",IF(AND(L$6&gt;=$BH22,L$6&lt;=$BI22),"遅","")))))</f>
        <v/>
      </c>
      <c r="M22" s="93" t="str">
        <f>IF($BB22="","",IF(M$6=$BJ22,"◆",IF(AND(M$6&gt;=$BF22,M$6&lt;=$BG22),IF(AND(M$6&gt;=$BD22,M$6&lt;=$BE22),"実","外"),IF(AND(M$6&gt;=$BD22,M$6&lt;=$BE22),"計",IF(AND(M$6&gt;=$BH22,M$6&lt;=$BI22),"遅","")))))</f>
        <v/>
      </c>
      <c r="N22" s="93" t="str">
        <f>IF($BB22="","",IF(N$6=$BJ22,"◆",IF(AND(N$6&gt;=$BF22,N$6&lt;=$BG22),IF(AND(N$6&gt;=$BD22,N$6&lt;=$BE22),"実","外"),IF(AND(N$6&gt;=$BD22,N$6&lt;=$BE22),"計",IF(AND(N$6&gt;=$BH22,N$6&lt;=$BI22),"遅","")))))</f>
        <v/>
      </c>
      <c r="O22" s="93" t="str">
        <f>IF($BB22="","",IF(O$6=$BJ22,"◆",IF(AND(O$6&gt;=$BF22,O$6&lt;=$BG22),IF(AND(O$6&gt;=$BD22,O$6&lt;=$BE22),"実","外"),IF(AND(O$6&gt;=$BD22,O$6&lt;=$BE22),"計",IF(AND(O$6&gt;=$BH22,O$6&lt;=$BI22),"遅","")))))</f>
        <v/>
      </c>
      <c r="P22" s="93" t="str">
        <f>IF($BB22="","",IF(P$6=$BJ22,"◆",IF(AND(P$6&gt;=$BF22,P$6&lt;=$BG22),IF(AND(P$6&gt;=$BD22,P$6&lt;=$BE22),"実","外"),IF(AND(P$6&gt;=$BD22,P$6&lt;=$BE22),"計",IF(AND(P$6&gt;=$BH22,P$6&lt;=$BI22),"遅","")))))</f>
        <v/>
      </c>
      <c r="Q22" s="93" t="str">
        <f>IF($BB22="","",IF(Q$6=$BJ22,"◆",IF(AND(Q$6&gt;=$BF22,Q$6&lt;=$BG22),IF(AND(Q$6&gt;=$BD22,Q$6&lt;=$BE22),"実","外"),IF(AND(Q$6&gt;=$BD22,Q$6&lt;=$BE22),"計",IF(AND(Q$6&gt;=$BH22,Q$6&lt;=$BI22),"遅","")))))</f>
        <v/>
      </c>
      <c r="R22" s="93" t="str">
        <f>IF($BB22="","",IF(R$6=$BJ22,"◆",IF(AND(R$6&gt;=$BF22,R$6&lt;=$BG22),IF(AND(R$6&gt;=$BD22,R$6&lt;=$BE22),"実","外"),IF(AND(R$6&gt;=$BD22,R$6&lt;=$BE22),"計",IF(AND(R$6&gt;=$BH22,R$6&lt;=$BI22),"遅","")))))</f>
        <v>計</v>
      </c>
      <c r="S22" s="93" t="str">
        <f>IF($BB22="","",IF(S$6=$BJ22,"◆",IF(AND(S$6&gt;=$BF22,S$6&lt;=$BG22),IF(AND(S$6&gt;=$BD22,S$6&lt;=$BE22),"実","外"),IF(AND(S$6&gt;=$BD22,S$6&lt;=$BE22),"計",IF(AND(S$6&gt;=$BH22,S$6&lt;=$BI22),"遅","")))))</f>
        <v/>
      </c>
      <c r="T22" s="93" t="str">
        <f>IF($BB22="","",IF(T$6=$BJ22,"◆",IF(AND(T$6&gt;=$BF22,T$6&lt;=$BG22),IF(AND(T$6&gt;=$BD22,T$6&lt;=$BE22),"実","外"),IF(AND(T$6&gt;=$BD22,T$6&lt;=$BE22),"計",IF(AND(T$6&gt;=$BH22,T$6&lt;=$BI22),"遅","")))))</f>
        <v/>
      </c>
      <c r="U22" s="93" t="str">
        <f>IF($BB22="","",IF(U$6=$BJ22,"◆",IF(AND(U$6&gt;=$BF22,U$6&lt;=$BG22),IF(AND(U$6&gt;=$BD22,U$6&lt;=$BE22),"実","外"),IF(AND(U$6&gt;=$BD22,U$6&lt;=$BE22),"計",IF(AND(U$6&gt;=$BH22,U$6&lt;=$BI22),"遅","")))))</f>
        <v/>
      </c>
      <c r="V22" s="93" t="str">
        <f>IF($BB22="","",IF(V$6=$BJ22,"◆",IF(AND(V$6&gt;=$BF22,V$6&lt;=$BG22),IF(AND(V$6&gt;=$BD22,V$6&lt;=$BE22),"実","外"),IF(AND(V$6&gt;=$BD22,V$6&lt;=$BE22),"計",IF(AND(V$6&gt;=$BH22,V$6&lt;=$BI22),"遅","")))))</f>
        <v/>
      </c>
      <c r="W22" s="93" t="str">
        <f>IF($BB22="","",IF(W$6=$BJ22,"◆",IF(AND(W$6&gt;=$BF22,W$6&lt;=$BG22),IF(AND(W$6&gt;=$BD22,W$6&lt;=$BE22),"実","外"),IF(AND(W$6&gt;=$BD22,W$6&lt;=$BE22),"計",IF(AND(W$6&gt;=$BH22,W$6&lt;=$BI22),"遅","")))))</f>
        <v/>
      </c>
      <c r="X22" s="93" t="str">
        <f>IF($BB22="","",IF(X$6=$BJ22,"◆",IF(AND(X$6&gt;=$BF22,X$6&lt;=$BG22),IF(AND(X$6&gt;=$BD22,X$6&lt;=$BE22),"実","外"),IF(AND(X$6&gt;=$BD22,X$6&lt;=$BE22),"計",IF(AND(X$6&gt;=$BH22,X$6&lt;=$BI22),"遅","")))))</f>
        <v/>
      </c>
      <c r="Y22" s="93" t="str">
        <f>IF($BB22="","",IF(Y$6=$BJ22,"◆",IF(AND(Y$6&gt;=$BF22,Y$6&lt;=$BG22),IF(AND(Y$6&gt;=$BD22,Y$6&lt;=$BE22),"実","外"),IF(AND(Y$6&gt;=$BD22,Y$6&lt;=$BE22),"計",IF(AND(Y$6&gt;=$BH22,Y$6&lt;=$BI22),"遅","")))))</f>
        <v/>
      </c>
      <c r="Z22" s="93" t="str">
        <f>IF($BB22="","",IF(Z$6=$BJ22,"◆",IF(AND(Z$6&gt;=$BF22,Z$6&lt;=$BG22),IF(AND(Z$6&gt;=$BD22,Z$6&lt;=$BE22),"実","外"),IF(AND(Z$6&gt;=$BD22,Z$6&lt;=$BE22),"計",IF(AND(Z$6&gt;=$BH22,Z$6&lt;=$BI22),"遅","")))))</f>
        <v/>
      </c>
      <c r="AA22" s="93" t="str">
        <f>IF($BB22="","",IF(AA$6=$BJ22,"◆",IF(AND(AA$6&gt;=$BF22,AA$6&lt;=$BG22),IF(AND(AA$6&gt;=$BD22,AA$6&lt;=$BE22),"実","外"),IF(AND(AA$6&gt;=$BD22,AA$6&lt;=$BE22),"計",IF(AND(AA$6&gt;=$BH22,AA$6&lt;=$BI22),"遅","")))))</f>
        <v/>
      </c>
      <c r="AB22" s="93" t="str">
        <f>IF($BB22="","",IF(AB$6=$BJ22,"◆",IF(AND(AB$6&gt;=$BF22,AB$6&lt;=$BG22),IF(AND(AB$6&gt;=$BD22,AB$6&lt;=$BE22),"実","外"),IF(AND(AB$6&gt;=$BD22,AB$6&lt;=$BE22),"計",IF(AND(AB$6&gt;=$BH22,AB$6&lt;=$BI22),"遅","")))))</f>
        <v/>
      </c>
      <c r="AC22" s="93" t="str">
        <f>IF($BB22="","",IF(AC$6=$BJ22,"◆",IF(AND(AC$6&gt;=$BF22,AC$6&lt;=$BG22),IF(AND(AC$6&gt;=$BD22,AC$6&lt;=$BE22),"実","外"),IF(AND(AC$6&gt;=$BD22,AC$6&lt;=$BE22),"計",IF(AND(AC$6&gt;=$BH22,AC$6&lt;=$BI22),"遅","")))))</f>
        <v/>
      </c>
      <c r="AD22" s="93" t="str">
        <f>IF($BB22="","",IF(AD$6=$BJ22,"◆",IF(AND(AD$6&gt;=$BF22,AD$6&lt;=$BG22),IF(AND(AD$6&gt;=$BD22,AD$6&lt;=$BE22),"実","外"),IF(AND(AD$6&gt;=$BD22,AD$6&lt;=$BE22),"計",IF(AND(AD$6&gt;=$BH22,AD$6&lt;=$BI22),"遅","")))))</f>
        <v/>
      </c>
      <c r="AE22" s="93" t="str">
        <f>IF($BB22="","",IF(AE$6=$BJ22,"◆",IF(AND(AE$6&gt;=$BF22,AE$6&lt;=$BG22),IF(AND(AE$6&gt;=$BD22,AE$6&lt;=$BE22),"実","外"),IF(AND(AE$6&gt;=$BD22,AE$6&lt;=$BE22),"計",IF(AND(AE$6&gt;=$BH22,AE$6&lt;=$BI22),"遅","")))))</f>
        <v/>
      </c>
      <c r="AF22" s="93" t="str">
        <f>IF($BB22="","",IF(AF$6=$BJ22,"◆",IF(AND(AF$6&gt;=$BF22,AF$6&lt;=$BG22),IF(AND(AF$6&gt;=$BD22,AF$6&lt;=$BE22),"実","外"),IF(AND(AF$6&gt;=$BD22,AF$6&lt;=$BE22),"計",IF(AND(AF$6&gt;=$BH22,AF$6&lt;=$BI22),"遅","")))))</f>
        <v/>
      </c>
      <c r="AG22" s="93" t="str">
        <f>IF($BB22="","",IF(AG$6=$BJ22,"◆",IF(AND(AG$6&gt;=$BF22,AG$6&lt;=$BG22),IF(AND(AG$6&gt;=$BD22,AG$6&lt;=$BE22),"実","外"),IF(AND(AG$6&gt;=$BD22,AG$6&lt;=$BE22),"計",IF(AND(AG$6&gt;=$BH22,AG$6&lt;=$BI22),"遅","")))))</f>
        <v/>
      </c>
      <c r="AH22" s="93" t="str">
        <f>IF($BB22="","",IF(AH$6=$BJ22,"◆",IF(AND(AH$6&gt;=$BF22,AH$6&lt;=$BG22),IF(AND(AH$6&gt;=$BD22,AH$6&lt;=$BE22),"実","外"),IF(AND(AH$6&gt;=$BD22,AH$6&lt;=$BE22),"計",IF(AND(AH$6&gt;=$BH22,AH$6&lt;=$BI22),"遅","")))))</f>
        <v/>
      </c>
      <c r="AI22" s="93" t="str">
        <f>IF($BB22="","",IF(AI$6=$BJ22,"◆",IF(AND(AI$6&gt;=$BF22,AI$6&lt;=$BG22),IF(AND(AI$6&gt;=$BD22,AI$6&lt;=$BE22),"実","外"),IF(AND(AI$6&gt;=$BD22,AI$6&lt;=$BE22),"計",IF(AND(AI$6&gt;=$BH22,AI$6&lt;=$BI22),"遅","")))))</f>
        <v/>
      </c>
      <c r="AJ22" s="93" t="str">
        <f>IF($BB22="","",IF(AJ$6=$BJ22,"◆",IF(AND(AJ$6&gt;=$BF22,AJ$6&lt;=$BG22),IF(AND(AJ$6&gt;=$BD22,AJ$6&lt;=$BE22),"実","外"),IF(AND(AJ$6&gt;=$BD22,AJ$6&lt;=$BE22),"計",IF(AND(AJ$6&gt;=$BH22,AJ$6&lt;=$BI22),"遅","")))))</f>
        <v/>
      </c>
      <c r="AK22" s="93" t="str">
        <f>IF($BB22="","",IF(AK$6=$BJ22,"◆",IF(AND(AK$6&gt;=$BF22,AK$6&lt;=$BG22),IF(AND(AK$6&gt;=$BD22,AK$6&lt;=$BE22),"実","外"),IF(AND(AK$6&gt;=$BD22,AK$6&lt;=$BE22),"計",IF(AND(AK$6&gt;=$BH22,AK$6&lt;=$BI22),"遅","")))))</f>
        <v/>
      </c>
      <c r="AL22" s="93" t="str">
        <f>IF($BB22="","",IF(AL$6=$BJ22,"◆",IF(AND(AL$6&gt;=$BF22,AL$6&lt;=$BG22),IF(AND(AL$6&gt;=$BD22,AL$6&lt;=$BE22),"実","外"),IF(AND(AL$6&gt;=$BD22,AL$6&lt;=$BE22),"計",IF(AND(AL$6&gt;=$BH22,AL$6&lt;=$BI22),"遅","")))))</f>
        <v/>
      </c>
      <c r="AM22" s="93" t="str">
        <f>IF($BB22="","",IF(AM$6=$BJ22,"◆",IF(AND(AM$6&gt;=$BF22,AM$6&lt;=$BG22),IF(AND(AM$6&gt;=$BD22,AM$6&lt;=$BE22),"実","外"),IF(AND(AM$6&gt;=$BD22,AM$6&lt;=$BE22),"計",IF(AND(AM$6&gt;=$BH22,AM$6&lt;=$BI22),"遅","")))))</f>
        <v/>
      </c>
      <c r="AN22" s="93" t="str">
        <f>IF($BB22="","",IF(AN$6=$BJ22,"◆",IF(AND(AN$6&gt;=$BF22,AN$6&lt;=$BG22),IF(AND(AN$6&gt;=$BD22,AN$6&lt;=$BE22),"実","外"),IF(AND(AN$6&gt;=$BD22,AN$6&lt;=$BE22),"計",IF(AND(AN$6&gt;=$BH22,AN$6&lt;=$BI22),"遅","")))))</f>
        <v/>
      </c>
      <c r="AO22" s="93" t="str">
        <f>IF($BB22="","",IF(AO$6=$BJ22,"◆",IF(AND(AO$6&gt;=$BF22,AO$6&lt;=$BG22),IF(AND(AO$6&gt;=$BD22,AO$6&lt;=$BE22),"実","外"),IF(AND(AO$6&gt;=$BD22,AO$6&lt;=$BE22),"計",IF(AND(AO$6&gt;=$BH22,AO$6&lt;=$BI22),"遅","")))))</f>
        <v/>
      </c>
      <c r="AP22" s="93" t="str">
        <f>IF($BB22="","",IF(AP$6=$BJ22,"◆",IF(AND(AP$6&gt;=$BF22,AP$6&lt;=$BG22),IF(AND(AP$6&gt;=$BD22,AP$6&lt;=$BE22),"実","外"),IF(AND(AP$6&gt;=$BD22,AP$6&lt;=$BE22),"計",IF(AND(AP$6&gt;=$BH22,AP$6&lt;=$BI22),"遅","")))))</f>
        <v/>
      </c>
      <c r="AQ22" s="93" t="str">
        <f>IF($BB22="","",IF(AQ$6=$BJ22,"◆",IF(AND(AQ$6&gt;=$BF22,AQ$6&lt;=$BG22),IF(AND(AQ$6&gt;=$BD22,AQ$6&lt;=$BE22),"実","外"),IF(AND(AQ$6&gt;=$BD22,AQ$6&lt;=$BE22),"計",IF(AND(AQ$6&gt;=$BH22,AQ$6&lt;=$BI22),"遅","")))))</f>
        <v>◆</v>
      </c>
      <c r="AR22" s="93" t="str">
        <f>IF($BB22="","",IF(AR$6=$BJ22,"◆",IF(AND(AR$6&gt;=$BF22,AR$6&lt;=$BG22),IF(AND(AR$6&gt;=$BD22,AR$6&lt;=$BE22),"実","外"),IF(AND(AR$6&gt;=$BD22,AR$6&lt;=$BE22),"計",IF(AND(AR$6&gt;=$BH22,AR$6&lt;=$BI22),"遅","")))))</f>
        <v/>
      </c>
      <c r="AS22" s="93" t="str">
        <f>IF($BB22="","",IF(AS$6=$BJ22,"◆",IF(AND(AS$6&gt;=$BF22,AS$6&lt;=$BG22),IF(AND(AS$6&gt;=$BD22,AS$6&lt;=$BE22),"実","外"),IF(AND(AS$6&gt;=$BD22,AS$6&lt;=$BE22),"計",IF(AND(AS$6&gt;=$BH22,AS$6&lt;=$BI22),"遅","")))))</f>
        <v/>
      </c>
      <c r="AT22" s="93" t="str">
        <f>IF($BB22="","",IF(AT$6=$BJ22,"◆",IF(AND(AT$6&gt;=$BF22,AT$6&lt;=$BG22),IF(AND(AT$6&gt;=$BD22,AT$6&lt;=$BE22),"実","外"),IF(AND(AT$6&gt;=$BD22,AT$6&lt;=$BE22),"計",IF(AND(AT$6&gt;=$BH22,AT$6&lt;=$BI22),"遅","")))))</f>
        <v/>
      </c>
      <c r="AU22" s="93" t="str">
        <f>IF($BB22="","",IF(AU$6=$BJ22,"◆",IF(AND(AU$6&gt;=$BF22,AU$6&lt;=$BG22),IF(AND(AU$6&gt;=$BD22,AU$6&lt;=$BE22),"実","外"),IF(AND(AU$6&gt;=$BD22,AU$6&lt;=$BE22),"計",IF(AND(AU$6&gt;=$BH22,AU$6&lt;=$BI22),"遅","")))))</f>
        <v/>
      </c>
      <c r="AV22" s="93" t="str">
        <f>IF($BB22="","",IF(AV$6=$BJ22,"◆",IF(AND(AV$6&gt;=$BF22,AV$6&lt;=$BG22),IF(AND(AV$6&gt;=$BD22,AV$6&lt;=$BE22),"実","外"),IF(AND(AV$6&gt;=$BD22,AV$6&lt;=$BE22),"計",IF(AND(AV$6&gt;=$BH22,AV$6&lt;=$BI22),"遅","")))))</f>
        <v/>
      </c>
      <c r="AW22" s="93" t="str">
        <f>IF($BB22="","",IF(AW$6=$BJ22,"◆",IF(AND(AW$6&gt;=$BF22,AW$6&lt;=$BG22),IF(AND(AW$6&gt;=$BD22,AW$6&lt;=$BE22),"実","外"),IF(AND(AW$6&gt;=$BD22,AW$6&lt;=$BE22),"計",IF(AND(AW$6&gt;=$BH22,AW$6&lt;=$BI22),"遅","")))))</f>
        <v/>
      </c>
      <c r="AX22" s="93" t="str">
        <f>IF($BB22="","",IF(AX$6=$BJ22,"◆",IF(AND(AX$6&gt;=$BF22,AX$6&lt;=$BG22),IF(AND(AX$6&gt;=$BD22,AX$6&lt;=$BE22),"実","外"),IF(AND(AX$6&gt;=$BD22,AX$6&lt;=$BE22),"計",IF(AND(AX$6&gt;=$BH22,AX$6&lt;=$BI22),"遅","")))))</f>
        <v/>
      </c>
      <c r="AY22" s="93" t="str">
        <f>IF($BB22="","",IF(AY$6=$BJ22,"◆",IF(AND(AY$6&gt;=$BF22,AY$6&lt;=$BG22),IF(AND(AY$6&gt;=$BD22,AY$6&lt;=$BE22),"実","外"),IF(AND(AY$6&gt;=$BD22,AY$6&lt;=$BE22),"計",IF(AND(AY$6&gt;=$BH22,AY$6&lt;=$BI22),"遅","")))))</f>
        <v/>
      </c>
      <c r="AZ22" s="93" t="str">
        <f>IF($BB22="","",IF(AZ$6=$BJ22,"◆",IF(AND(AZ$6&gt;=$BF22,AZ$6&lt;=$BG22),IF(AND(AZ$6&gt;=$BD22,AZ$6&lt;=$BE22),"実","外"),IF(AND(AZ$6&gt;=$BD22,AZ$6&lt;=$BE22),"計",IF(AND(AZ$6&gt;=$BH22,AZ$6&lt;=$BI22),"遅","")))))</f>
        <v/>
      </c>
      <c r="BB22">
        <f>IF(15&gt;COUNTIF(tblSteps[日別対象],1),"",IFERROR(MATCH(15,tblSteps[日別順位],0),""))</f>
        <v>26</v>
      </c>
      <c r="BC22" t="str">
        <f>IF($BB22="","",INDEX(tblSteps[案件ID],$BB22)&amp;"")</f>
        <v>A0021</v>
      </c>
      <c r="BD22">
        <f>IF($BB22="","",INDEX(tblSteps[計開],$BB22))</f>
        <v>46300</v>
      </c>
      <c r="BE22">
        <f>IF($BB22="","",INDEX(tblSteps[計終],$BB22))</f>
        <v>46300</v>
      </c>
      <c r="BF22">
        <f>IF($BB22="","",INDEX(tblSteps[実開],$BB22))</f>
        <v>1</v>
      </c>
      <c r="BG22">
        <f>IF($BB22="","",INDEX(tblSteps[実終],$BB22))</f>
        <v>0</v>
      </c>
      <c r="BH22">
        <f>IF($BB22="","",INDEX(tblSteps[遅開],$BB22))</f>
        <v>46301</v>
      </c>
      <c r="BI22">
        <f>IF($BB22="","",INDEX(tblSteps[遅終],$BB22))</f>
        <v>0</v>
      </c>
      <c r="BJ22">
        <f>IF($BB22="","",INDEX(tblSteps[納期値],$BB22))</f>
        <v>46325</v>
      </c>
    </row>
    <row r="23" ht="18" customHeight="1">
      <c r="A23" s="89" t="str">
        <f>IF($BB23="","",INDEX(tblSteps[工程ID],$BB23)&amp;"")</f>
        <v>S0013</v>
      </c>
      <c r="B23" s="88" t="str">
        <f>IF($BB23="","",IF($BC23=$BC22,"",$BC23&amp;" "&amp;INDEX(tblSteps[案件名],$BB23)))</f>
        <v/>
      </c>
      <c r="C23" s="88" t="str">
        <f>IF($BB23="","",INDEX(tblSteps[工程名],$BB23)&amp;"")</f>
        <v>コンベヤ設置</v>
      </c>
      <c r="D23" s="89" t="str">
        <f>IF($BB23="","",INDEX(tblSteps[担当],$BB23)&amp;"")</f>
        <v>協力会社A</v>
      </c>
      <c r="E23" s="89" t="str">
        <f>IF($BB23="","",INDEX(tblSteps[状態],$BB23)&amp;"")</f>
        <v>未着手</v>
      </c>
      <c r="F23" s="90">
        <f>IF($BB23="","",IF(ISNUMBER(INDEX(tblSteps[進捗率],$BB23)),INDEX(tblSteps[進捗率],$BB23),""))</f>
        <v>0</v>
      </c>
      <c r="G23" s="91">
        <f>IF($BB23="","",IF(ISNUMBER(INDEX(tblSteps[計画開始日],$BB23)),INDEX(tblSteps[計画開始日],$BB23),"未入力"))</f>
        <v>46308.0</v>
      </c>
      <c r="H23" s="91">
        <f>IF($BB23="","",IF(ISNUMBER(INDEX(tblSteps[計画終了日],$BB23)),INDEX(tblSteps[計画終了日],$BB23),"未入力"))</f>
        <v>46318.0</v>
      </c>
      <c r="I23" s="91" t="str">
        <f>IF($BB23="","",IF(ISNUMBER(INDEX(tblSteps[完了見込日],$BB23)),INDEX(tblSteps[完了見込日],$BB23),""))</f>
        <v/>
      </c>
      <c r="J23" s="92" t="str">
        <f>IF($BB23="","",INDEX(tblSteps[注意短],$BB23)&amp;"")</f>
        <v/>
      </c>
      <c r="K23" s="93" t="str">
        <f>IF($BB23="","",IF(K$6=$BJ23,"◆",IF(AND(K$6&gt;=$BF23,K$6&lt;=$BG23),IF(AND(K$6&gt;=$BD23,K$6&lt;=$BE23),"実","外"),IF(AND(K$6&gt;=$BD23,K$6&lt;=$BE23),"計",IF(AND(K$6&gt;=$BH23,K$6&lt;=$BI23),"遅","")))))</f>
        <v/>
      </c>
      <c r="L23" s="93" t="str">
        <f>IF($BB23="","",IF(L$6=$BJ23,"◆",IF(AND(L$6&gt;=$BF23,L$6&lt;=$BG23),IF(AND(L$6&gt;=$BD23,L$6&lt;=$BE23),"実","外"),IF(AND(L$6&gt;=$BD23,L$6&lt;=$BE23),"計",IF(AND(L$6&gt;=$BH23,L$6&lt;=$BI23),"遅","")))))</f>
        <v/>
      </c>
      <c r="M23" s="93" t="str">
        <f>IF($BB23="","",IF(M$6=$BJ23,"◆",IF(AND(M$6&gt;=$BF23,M$6&lt;=$BG23),IF(AND(M$6&gt;=$BD23,M$6&lt;=$BE23),"実","外"),IF(AND(M$6&gt;=$BD23,M$6&lt;=$BE23),"計",IF(AND(M$6&gt;=$BH23,M$6&lt;=$BI23),"遅","")))))</f>
        <v/>
      </c>
      <c r="N23" s="93" t="str">
        <f>IF($BB23="","",IF(N$6=$BJ23,"◆",IF(AND(N$6&gt;=$BF23,N$6&lt;=$BG23),IF(AND(N$6&gt;=$BD23,N$6&lt;=$BE23),"実","外"),IF(AND(N$6&gt;=$BD23,N$6&lt;=$BE23),"計",IF(AND(N$6&gt;=$BH23,N$6&lt;=$BI23),"遅","")))))</f>
        <v/>
      </c>
      <c r="O23" s="93" t="str">
        <f>IF($BB23="","",IF(O$6=$BJ23,"◆",IF(AND(O$6&gt;=$BF23,O$6&lt;=$BG23),IF(AND(O$6&gt;=$BD23,O$6&lt;=$BE23),"実","外"),IF(AND(O$6&gt;=$BD23,O$6&lt;=$BE23),"計",IF(AND(O$6&gt;=$BH23,O$6&lt;=$BI23),"遅","")))))</f>
        <v/>
      </c>
      <c r="P23" s="93" t="str">
        <f>IF($BB23="","",IF(P$6=$BJ23,"◆",IF(AND(P$6&gt;=$BF23,P$6&lt;=$BG23),IF(AND(P$6&gt;=$BD23,P$6&lt;=$BE23),"実","外"),IF(AND(P$6&gt;=$BD23,P$6&lt;=$BE23),"計",IF(AND(P$6&gt;=$BH23,P$6&lt;=$BI23),"遅","")))))</f>
        <v/>
      </c>
      <c r="Q23" s="93" t="str">
        <f>IF($BB23="","",IF(Q$6=$BJ23,"◆",IF(AND(Q$6&gt;=$BF23,Q$6&lt;=$BG23),IF(AND(Q$6&gt;=$BD23,Q$6&lt;=$BE23),"実","外"),IF(AND(Q$6&gt;=$BD23,Q$6&lt;=$BE23),"計",IF(AND(Q$6&gt;=$BH23,Q$6&lt;=$BI23),"遅","")))))</f>
        <v/>
      </c>
      <c r="R23" s="93" t="str">
        <f>IF($BB23="","",IF(R$6=$BJ23,"◆",IF(AND(R$6&gt;=$BF23,R$6&lt;=$BG23),IF(AND(R$6&gt;=$BD23,R$6&lt;=$BE23),"実","外"),IF(AND(R$6&gt;=$BD23,R$6&lt;=$BE23),"計",IF(AND(R$6&gt;=$BH23,R$6&lt;=$BI23),"遅","")))))</f>
        <v/>
      </c>
      <c r="S23" s="93" t="str">
        <f>IF($BB23="","",IF(S$6=$BJ23,"◆",IF(AND(S$6&gt;=$BF23,S$6&lt;=$BG23),IF(AND(S$6&gt;=$BD23,S$6&lt;=$BE23),"実","外"),IF(AND(S$6&gt;=$BD23,S$6&lt;=$BE23),"計",IF(AND(S$6&gt;=$BH23,S$6&lt;=$BI23),"遅","")))))</f>
        <v/>
      </c>
      <c r="T23" s="93" t="str">
        <f>IF($BB23="","",IF(T$6=$BJ23,"◆",IF(AND(T$6&gt;=$BF23,T$6&lt;=$BG23),IF(AND(T$6&gt;=$BD23,T$6&lt;=$BE23),"実","外"),IF(AND(T$6&gt;=$BD23,T$6&lt;=$BE23),"計",IF(AND(T$6&gt;=$BH23,T$6&lt;=$BI23),"遅","")))))</f>
        <v/>
      </c>
      <c r="U23" s="93" t="str">
        <f>IF($BB23="","",IF(U$6=$BJ23,"◆",IF(AND(U$6&gt;=$BF23,U$6&lt;=$BG23),IF(AND(U$6&gt;=$BD23,U$6&lt;=$BE23),"実","外"),IF(AND(U$6&gt;=$BD23,U$6&lt;=$BE23),"計",IF(AND(U$6&gt;=$BH23,U$6&lt;=$BI23),"遅","")))))</f>
        <v/>
      </c>
      <c r="V23" s="93" t="str">
        <f>IF($BB23="","",IF(V$6=$BJ23,"◆",IF(AND(V$6&gt;=$BF23,V$6&lt;=$BG23),IF(AND(V$6&gt;=$BD23,V$6&lt;=$BE23),"実","外"),IF(AND(V$6&gt;=$BD23,V$6&lt;=$BE23),"計",IF(AND(V$6&gt;=$BH23,V$6&lt;=$BI23),"遅","")))))</f>
        <v/>
      </c>
      <c r="W23" s="93" t="str">
        <f>IF($BB23="","",IF(W$6=$BJ23,"◆",IF(AND(W$6&gt;=$BF23,W$6&lt;=$BG23),IF(AND(W$6&gt;=$BD23,W$6&lt;=$BE23),"実","外"),IF(AND(W$6&gt;=$BD23,W$6&lt;=$BE23),"計",IF(AND(W$6&gt;=$BH23,W$6&lt;=$BI23),"遅","")))))</f>
        <v/>
      </c>
      <c r="X23" s="93" t="str">
        <f>IF($BB23="","",IF(X$6=$BJ23,"◆",IF(AND(X$6&gt;=$BF23,X$6&lt;=$BG23),IF(AND(X$6&gt;=$BD23,X$6&lt;=$BE23),"実","外"),IF(AND(X$6&gt;=$BD23,X$6&lt;=$BE23),"計",IF(AND(X$6&gt;=$BH23,X$6&lt;=$BI23),"遅","")))))</f>
        <v/>
      </c>
      <c r="Y23" s="93" t="str">
        <f>IF($BB23="","",IF(Y$6=$BJ23,"◆",IF(AND(Y$6&gt;=$BF23,Y$6&lt;=$BG23),IF(AND(Y$6&gt;=$BD23,Y$6&lt;=$BE23),"実","外"),IF(AND(Y$6&gt;=$BD23,Y$6&lt;=$BE23),"計",IF(AND(Y$6&gt;=$BH23,Y$6&lt;=$BI23),"遅","")))))</f>
        <v/>
      </c>
      <c r="Z23" s="93" t="str">
        <f>IF($BB23="","",IF(Z$6=$BJ23,"◆",IF(AND(Z$6&gt;=$BF23,Z$6&lt;=$BG23),IF(AND(Z$6&gt;=$BD23,Z$6&lt;=$BE23),"実","外"),IF(AND(Z$6&gt;=$BD23,Z$6&lt;=$BE23),"計",IF(AND(Z$6&gt;=$BH23,Z$6&lt;=$BI23),"遅","")))))</f>
        <v>計</v>
      </c>
      <c r="AA23" s="93" t="str">
        <f>IF($BB23="","",IF(AA$6=$BJ23,"◆",IF(AND(AA$6&gt;=$BF23,AA$6&lt;=$BG23),IF(AND(AA$6&gt;=$BD23,AA$6&lt;=$BE23),"実","外"),IF(AND(AA$6&gt;=$BD23,AA$6&lt;=$BE23),"計",IF(AND(AA$6&gt;=$BH23,AA$6&lt;=$BI23),"遅","")))))</f>
        <v>計</v>
      </c>
      <c r="AB23" s="93" t="str">
        <f>IF($BB23="","",IF(AB$6=$BJ23,"◆",IF(AND(AB$6&gt;=$BF23,AB$6&lt;=$BG23),IF(AND(AB$6&gt;=$BD23,AB$6&lt;=$BE23),"実","外"),IF(AND(AB$6&gt;=$BD23,AB$6&lt;=$BE23),"計",IF(AND(AB$6&gt;=$BH23,AB$6&lt;=$BI23),"遅","")))))</f>
        <v>計</v>
      </c>
      <c r="AC23" s="93" t="str">
        <f>IF($BB23="","",IF(AC$6=$BJ23,"◆",IF(AND(AC$6&gt;=$BF23,AC$6&lt;=$BG23),IF(AND(AC$6&gt;=$BD23,AC$6&lt;=$BE23),"実","外"),IF(AND(AC$6&gt;=$BD23,AC$6&lt;=$BE23),"計",IF(AND(AC$6&gt;=$BH23,AC$6&lt;=$BI23),"遅","")))))</f>
        <v>計</v>
      </c>
      <c r="AD23" s="93" t="str">
        <f>IF($BB23="","",IF(AD$6=$BJ23,"◆",IF(AND(AD$6&gt;=$BF23,AD$6&lt;=$BG23),IF(AND(AD$6&gt;=$BD23,AD$6&lt;=$BE23),"実","外"),IF(AND(AD$6&gt;=$BD23,AD$6&lt;=$BE23),"計",IF(AND(AD$6&gt;=$BH23,AD$6&lt;=$BI23),"遅","")))))</f>
        <v>計</v>
      </c>
      <c r="AE23" s="93" t="str">
        <f>IF($BB23="","",IF(AE$6=$BJ23,"◆",IF(AND(AE$6&gt;=$BF23,AE$6&lt;=$BG23),IF(AND(AE$6&gt;=$BD23,AE$6&lt;=$BE23),"実","外"),IF(AND(AE$6&gt;=$BD23,AE$6&lt;=$BE23),"計",IF(AND(AE$6&gt;=$BH23,AE$6&lt;=$BI23),"遅","")))))</f>
        <v>計</v>
      </c>
      <c r="AF23" s="93" t="str">
        <f>IF($BB23="","",IF(AF$6=$BJ23,"◆",IF(AND(AF$6&gt;=$BF23,AF$6&lt;=$BG23),IF(AND(AF$6&gt;=$BD23,AF$6&lt;=$BE23),"実","外"),IF(AND(AF$6&gt;=$BD23,AF$6&lt;=$BE23),"計",IF(AND(AF$6&gt;=$BH23,AF$6&lt;=$BI23),"遅","")))))</f>
        <v>計</v>
      </c>
      <c r="AG23" s="93" t="str">
        <f>IF($BB23="","",IF(AG$6=$BJ23,"◆",IF(AND(AG$6&gt;=$BF23,AG$6&lt;=$BG23),IF(AND(AG$6&gt;=$BD23,AG$6&lt;=$BE23),"実","外"),IF(AND(AG$6&gt;=$BD23,AG$6&lt;=$BE23),"計",IF(AND(AG$6&gt;=$BH23,AG$6&lt;=$BI23),"遅","")))))</f>
        <v>計</v>
      </c>
      <c r="AH23" s="93" t="str">
        <f>IF($BB23="","",IF(AH$6=$BJ23,"◆",IF(AND(AH$6&gt;=$BF23,AH$6&lt;=$BG23),IF(AND(AH$6&gt;=$BD23,AH$6&lt;=$BE23),"実","外"),IF(AND(AH$6&gt;=$BD23,AH$6&lt;=$BE23),"計",IF(AND(AH$6&gt;=$BH23,AH$6&lt;=$BI23),"遅","")))))</f>
        <v>計</v>
      </c>
      <c r="AI23" s="93" t="str">
        <f>IF($BB23="","",IF(AI$6=$BJ23,"◆",IF(AND(AI$6&gt;=$BF23,AI$6&lt;=$BG23),IF(AND(AI$6&gt;=$BD23,AI$6&lt;=$BE23),"実","外"),IF(AND(AI$6&gt;=$BD23,AI$6&lt;=$BE23),"計",IF(AND(AI$6&gt;=$BH23,AI$6&lt;=$BI23),"遅","")))))</f>
        <v>計</v>
      </c>
      <c r="AJ23" s="93" t="str">
        <f>IF($BB23="","",IF(AJ$6=$BJ23,"◆",IF(AND(AJ$6&gt;=$BF23,AJ$6&lt;=$BG23),IF(AND(AJ$6&gt;=$BD23,AJ$6&lt;=$BE23),"実","外"),IF(AND(AJ$6&gt;=$BD23,AJ$6&lt;=$BE23),"計",IF(AND(AJ$6&gt;=$BH23,AJ$6&lt;=$BI23),"遅","")))))</f>
        <v>計</v>
      </c>
      <c r="AK23" s="93" t="str">
        <f>IF($BB23="","",IF(AK$6=$BJ23,"◆",IF(AND(AK$6&gt;=$BF23,AK$6&lt;=$BG23),IF(AND(AK$6&gt;=$BD23,AK$6&lt;=$BE23),"実","外"),IF(AND(AK$6&gt;=$BD23,AK$6&lt;=$BE23),"計",IF(AND(AK$6&gt;=$BH23,AK$6&lt;=$BI23),"遅","")))))</f>
        <v/>
      </c>
      <c r="AL23" s="93" t="str">
        <f>IF($BB23="","",IF(AL$6=$BJ23,"◆",IF(AND(AL$6&gt;=$BF23,AL$6&lt;=$BG23),IF(AND(AL$6&gt;=$BD23,AL$6&lt;=$BE23),"実","外"),IF(AND(AL$6&gt;=$BD23,AL$6&lt;=$BE23),"計",IF(AND(AL$6&gt;=$BH23,AL$6&lt;=$BI23),"遅","")))))</f>
        <v/>
      </c>
      <c r="AM23" s="93" t="str">
        <f>IF($BB23="","",IF(AM$6=$BJ23,"◆",IF(AND(AM$6&gt;=$BF23,AM$6&lt;=$BG23),IF(AND(AM$6&gt;=$BD23,AM$6&lt;=$BE23),"実","外"),IF(AND(AM$6&gt;=$BD23,AM$6&lt;=$BE23),"計",IF(AND(AM$6&gt;=$BH23,AM$6&lt;=$BI23),"遅","")))))</f>
        <v/>
      </c>
      <c r="AN23" s="93" t="str">
        <f>IF($BB23="","",IF(AN$6=$BJ23,"◆",IF(AND(AN$6&gt;=$BF23,AN$6&lt;=$BG23),IF(AND(AN$6&gt;=$BD23,AN$6&lt;=$BE23),"実","外"),IF(AND(AN$6&gt;=$BD23,AN$6&lt;=$BE23),"計",IF(AND(AN$6&gt;=$BH23,AN$6&lt;=$BI23),"遅","")))))</f>
        <v/>
      </c>
      <c r="AO23" s="93" t="str">
        <f>IF($BB23="","",IF(AO$6=$BJ23,"◆",IF(AND(AO$6&gt;=$BF23,AO$6&lt;=$BG23),IF(AND(AO$6&gt;=$BD23,AO$6&lt;=$BE23),"実","外"),IF(AND(AO$6&gt;=$BD23,AO$6&lt;=$BE23),"計",IF(AND(AO$6&gt;=$BH23,AO$6&lt;=$BI23),"遅","")))))</f>
        <v/>
      </c>
      <c r="AP23" s="93" t="str">
        <f>IF($BB23="","",IF(AP$6=$BJ23,"◆",IF(AND(AP$6&gt;=$BF23,AP$6&lt;=$BG23),IF(AND(AP$6&gt;=$BD23,AP$6&lt;=$BE23),"実","外"),IF(AND(AP$6&gt;=$BD23,AP$6&lt;=$BE23),"計",IF(AND(AP$6&gt;=$BH23,AP$6&lt;=$BI23),"遅","")))))</f>
        <v/>
      </c>
      <c r="AQ23" s="93" t="str">
        <f>IF($BB23="","",IF(AQ$6=$BJ23,"◆",IF(AND(AQ$6&gt;=$BF23,AQ$6&lt;=$BG23),IF(AND(AQ$6&gt;=$BD23,AQ$6&lt;=$BE23),"実","外"),IF(AND(AQ$6&gt;=$BD23,AQ$6&lt;=$BE23),"計",IF(AND(AQ$6&gt;=$BH23,AQ$6&lt;=$BI23),"遅","")))))</f>
        <v>◆</v>
      </c>
      <c r="AR23" s="93" t="str">
        <f>IF($BB23="","",IF(AR$6=$BJ23,"◆",IF(AND(AR$6&gt;=$BF23,AR$6&lt;=$BG23),IF(AND(AR$6&gt;=$BD23,AR$6&lt;=$BE23),"実","外"),IF(AND(AR$6&gt;=$BD23,AR$6&lt;=$BE23),"計",IF(AND(AR$6&gt;=$BH23,AR$6&lt;=$BI23),"遅","")))))</f>
        <v/>
      </c>
      <c r="AS23" s="93" t="str">
        <f>IF($BB23="","",IF(AS$6=$BJ23,"◆",IF(AND(AS$6&gt;=$BF23,AS$6&lt;=$BG23),IF(AND(AS$6&gt;=$BD23,AS$6&lt;=$BE23),"実","外"),IF(AND(AS$6&gt;=$BD23,AS$6&lt;=$BE23),"計",IF(AND(AS$6&gt;=$BH23,AS$6&lt;=$BI23),"遅","")))))</f>
        <v/>
      </c>
      <c r="AT23" s="93" t="str">
        <f>IF($BB23="","",IF(AT$6=$BJ23,"◆",IF(AND(AT$6&gt;=$BF23,AT$6&lt;=$BG23),IF(AND(AT$6&gt;=$BD23,AT$6&lt;=$BE23),"実","外"),IF(AND(AT$6&gt;=$BD23,AT$6&lt;=$BE23),"計",IF(AND(AT$6&gt;=$BH23,AT$6&lt;=$BI23),"遅","")))))</f>
        <v/>
      </c>
      <c r="AU23" s="93" t="str">
        <f>IF($BB23="","",IF(AU$6=$BJ23,"◆",IF(AND(AU$6&gt;=$BF23,AU$6&lt;=$BG23),IF(AND(AU$6&gt;=$BD23,AU$6&lt;=$BE23),"実","外"),IF(AND(AU$6&gt;=$BD23,AU$6&lt;=$BE23),"計",IF(AND(AU$6&gt;=$BH23,AU$6&lt;=$BI23),"遅","")))))</f>
        <v/>
      </c>
      <c r="AV23" s="93" t="str">
        <f>IF($BB23="","",IF(AV$6=$BJ23,"◆",IF(AND(AV$6&gt;=$BF23,AV$6&lt;=$BG23),IF(AND(AV$6&gt;=$BD23,AV$6&lt;=$BE23),"実","外"),IF(AND(AV$6&gt;=$BD23,AV$6&lt;=$BE23),"計",IF(AND(AV$6&gt;=$BH23,AV$6&lt;=$BI23),"遅","")))))</f>
        <v/>
      </c>
      <c r="AW23" s="93" t="str">
        <f>IF($BB23="","",IF(AW$6=$BJ23,"◆",IF(AND(AW$6&gt;=$BF23,AW$6&lt;=$BG23),IF(AND(AW$6&gt;=$BD23,AW$6&lt;=$BE23),"実","外"),IF(AND(AW$6&gt;=$BD23,AW$6&lt;=$BE23),"計",IF(AND(AW$6&gt;=$BH23,AW$6&lt;=$BI23),"遅","")))))</f>
        <v/>
      </c>
      <c r="AX23" s="93" t="str">
        <f>IF($BB23="","",IF(AX$6=$BJ23,"◆",IF(AND(AX$6&gt;=$BF23,AX$6&lt;=$BG23),IF(AND(AX$6&gt;=$BD23,AX$6&lt;=$BE23),"実","外"),IF(AND(AX$6&gt;=$BD23,AX$6&lt;=$BE23),"計",IF(AND(AX$6&gt;=$BH23,AX$6&lt;=$BI23),"遅","")))))</f>
        <v/>
      </c>
      <c r="AY23" s="93" t="str">
        <f>IF($BB23="","",IF(AY$6=$BJ23,"◆",IF(AND(AY$6&gt;=$BF23,AY$6&lt;=$BG23),IF(AND(AY$6&gt;=$BD23,AY$6&lt;=$BE23),"実","外"),IF(AND(AY$6&gt;=$BD23,AY$6&lt;=$BE23),"計",IF(AND(AY$6&gt;=$BH23,AY$6&lt;=$BI23),"遅","")))))</f>
        <v/>
      </c>
      <c r="AZ23" s="93" t="str">
        <f>IF($BB23="","",IF(AZ$6=$BJ23,"◆",IF(AND(AZ$6&gt;=$BF23,AZ$6&lt;=$BG23),IF(AND(AZ$6&gt;=$BD23,AZ$6&lt;=$BE23),"実","外"),IF(AND(AZ$6&gt;=$BD23,AZ$6&lt;=$BE23),"計",IF(AND(AZ$6&gt;=$BH23,AZ$6&lt;=$BI23),"遅","")))))</f>
        <v/>
      </c>
      <c r="BB23">
        <f>IF(16&gt;COUNTIF(tblSteps[日別対象],1),"",IFERROR(MATCH(16,tblSteps[日別順位],0),""))</f>
        <v>13</v>
      </c>
      <c r="BC23" t="str">
        <f>IF($BB23="","",INDEX(tblSteps[案件ID],$BB23)&amp;"")</f>
        <v>A0021</v>
      </c>
      <c r="BD23">
        <f>IF($BB23="","",INDEX(tblSteps[計開],$BB23))</f>
        <v>46308</v>
      </c>
      <c r="BE23">
        <f>IF($BB23="","",INDEX(tblSteps[計終],$BB23))</f>
        <v>46318</v>
      </c>
      <c r="BF23">
        <f>IF($BB23="","",INDEX(tblSteps[実開],$BB23))</f>
        <v>1</v>
      </c>
      <c r="BG23">
        <f>IF($BB23="","",INDEX(tblSteps[実終],$BB23))</f>
        <v>0</v>
      </c>
      <c r="BH23">
        <f>IF($BB23="","",INDEX(tblSteps[遅開],$BB23))</f>
        <v>46319</v>
      </c>
      <c r="BI23">
        <f>IF($BB23="","",INDEX(tblSteps[遅終],$BB23))</f>
        <v>0</v>
      </c>
      <c r="BJ23">
        <f>IF($BB23="","",INDEX(tblSteps[納期値],$BB23))</f>
        <v>46325</v>
      </c>
    </row>
    <row r="24" ht="18" customHeight="1">
      <c r="A24" s="89" t="str">
        <f>IF($BB24="","",INDEX(tblSteps[工程ID],$BB24)&amp;"")</f>
        <v>S0014</v>
      </c>
      <c r="B24" s="88" t="str">
        <f>IF($BB24="","",IF($BC24=$BC23,"",$BC24&amp;" "&amp;INDEX(tblSteps[案件名],$BB24)))</f>
        <v/>
      </c>
      <c r="C24" s="88" t="str">
        <f>IF($BB24="","",INDEX(tblSteps[工程名],$BB24)&amp;"")</f>
        <v>電気配線</v>
      </c>
      <c r="D24" s="89" t="str">
        <f>IF($BB24="","",INDEX(tblSteps[担当],$BB24)&amp;"")</f>
        <v>伊藤</v>
      </c>
      <c r="E24" s="89" t="str">
        <f>IF($BB24="","",INDEX(tblSteps[状態],$BB24)&amp;"")</f>
        <v>未着手</v>
      </c>
      <c r="F24" s="90">
        <f>IF($BB24="","",IF(ISNUMBER(INDEX(tblSteps[進捗率],$BB24)),INDEX(tblSteps[進捗率],$BB24),""))</f>
        <v>0</v>
      </c>
      <c r="G24" s="91">
        <f>IF($BB24="","",IF(ISNUMBER(INDEX(tblSteps[計画開始日],$BB24)),INDEX(tblSteps[計画開始日],$BB24),"未入力"))</f>
        <v>46314.0</v>
      </c>
      <c r="H24" s="91">
        <f>IF($BB24="","",IF(ISNUMBER(INDEX(tblSteps[計画終了日],$BB24)),INDEX(tblSteps[計画終了日],$BB24),"未入力"))</f>
        <v>46322.0</v>
      </c>
      <c r="I24" s="91" t="str">
        <f>IF($BB24="","",IF(ISNUMBER(INDEX(tblSteps[完了見込日],$BB24)),INDEX(tblSteps[完了見込日],$BB24),""))</f>
        <v/>
      </c>
      <c r="J24" s="92" t="str">
        <f>IF($BB24="","",INDEX(tblSteps[注意短],$BB24)&amp;"")</f>
        <v/>
      </c>
      <c r="K24" s="93" t="str">
        <f>IF($BB24="","",IF(K$6=$BJ24,"◆",IF(AND(K$6&gt;=$BF24,K$6&lt;=$BG24),IF(AND(K$6&gt;=$BD24,K$6&lt;=$BE24),"実","外"),IF(AND(K$6&gt;=$BD24,K$6&lt;=$BE24),"計",IF(AND(K$6&gt;=$BH24,K$6&lt;=$BI24),"遅","")))))</f>
        <v/>
      </c>
      <c r="L24" s="93" t="str">
        <f>IF($BB24="","",IF(L$6=$BJ24,"◆",IF(AND(L$6&gt;=$BF24,L$6&lt;=$BG24),IF(AND(L$6&gt;=$BD24,L$6&lt;=$BE24),"実","外"),IF(AND(L$6&gt;=$BD24,L$6&lt;=$BE24),"計",IF(AND(L$6&gt;=$BH24,L$6&lt;=$BI24),"遅","")))))</f>
        <v/>
      </c>
      <c r="M24" s="93" t="str">
        <f>IF($BB24="","",IF(M$6=$BJ24,"◆",IF(AND(M$6&gt;=$BF24,M$6&lt;=$BG24),IF(AND(M$6&gt;=$BD24,M$6&lt;=$BE24),"実","外"),IF(AND(M$6&gt;=$BD24,M$6&lt;=$BE24),"計",IF(AND(M$6&gt;=$BH24,M$6&lt;=$BI24),"遅","")))))</f>
        <v/>
      </c>
      <c r="N24" s="93" t="str">
        <f>IF($BB24="","",IF(N$6=$BJ24,"◆",IF(AND(N$6&gt;=$BF24,N$6&lt;=$BG24),IF(AND(N$6&gt;=$BD24,N$6&lt;=$BE24),"実","外"),IF(AND(N$6&gt;=$BD24,N$6&lt;=$BE24),"計",IF(AND(N$6&gt;=$BH24,N$6&lt;=$BI24),"遅","")))))</f>
        <v/>
      </c>
      <c r="O24" s="93" t="str">
        <f>IF($BB24="","",IF(O$6=$BJ24,"◆",IF(AND(O$6&gt;=$BF24,O$6&lt;=$BG24),IF(AND(O$6&gt;=$BD24,O$6&lt;=$BE24),"実","外"),IF(AND(O$6&gt;=$BD24,O$6&lt;=$BE24),"計",IF(AND(O$6&gt;=$BH24,O$6&lt;=$BI24),"遅","")))))</f>
        <v/>
      </c>
      <c r="P24" s="93" t="str">
        <f>IF($BB24="","",IF(P$6=$BJ24,"◆",IF(AND(P$6&gt;=$BF24,P$6&lt;=$BG24),IF(AND(P$6&gt;=$BD24,P$6&lt;=$BE24),"実","外"),IF(AND(P$6&gt;=$BD24,P$6&lt;=$BE24),"計",IF(AND(P$6&gt;=$BH24,P$6&lt;=$BI24),"遅","")))))</f>
        <v/>
      </c>
      <c r="Q24" s="93" t="str">
        <f>IF($BB24="","",IF(Q$6=$BJ24,"◆",IF(AND(Q$6&gt;=$BF24,Q$6&lt;=$BG24),IF(AND(Q$6&gt;=$BD24,Q$6&lt;=$BE24),"実","外"),IF(AND(Q$6&gt;=$BD24,Q$6&lt;=$BE24),"計",IF(AND(Q$6&gt;=$BH24,Q$6&lt;=$BI24),"遅","")))))</f>
        <v/>
      </c>
      <c r="R24" s="93" t="str">
        <f>IF($BB24="","",IF(R$6=$BJ24,"◆",IF(AND(R$6&gt;=$BF24,R$6&lt;=$BG24),IF(AND(R$6&gt;=$BD24,R$6&lt;=$BE24),"実","外"),IF(AND(R$6&gt;=$BD24,R$6&lt;=$BE24),"計",IF(AND(R$6&gt;=$BH24,R$6&lt;=$BI24),"遅","")))))</f>
        <v/>
      </c>
      <c r="S24" s="93" t="str">
        <f>IF($BB24="","",IF(S$6=$BJ24,"◆",IF(AND(S$6&gt;=$BF24,S$6&lt;=$BG24),IF(AND(S$6&gt;=$BD24,S$6&lt;=$BE24),"実","外"),IF(AND(S$6&gt;=$BD24,S$6&lt;=$BE24),"計",IF(AND(S$6&gt;=$BH24,S$6&lt;=$BI24),"遅","")))))</f>
        <v/>
      </c>
      <c r="T24" s="93" t="str">
        <f>IF($BB24="","",IF(T$6=$BJ24,"◆",IF(AND(T$6&gt;=$BF24,T$6&lt;=$BG24),IF(AND(T$6&gt;=$BD24,T$6&lt;=$BE24),"実","外"),IF(AND(T$6&gt;=$BD24,T$6&lt;=$BE24),"計",IF(AND(T$6&gt;=$BH24,T$6&lt;=$BI24),"遅","")))))</f>
        <v/>
      </c>
      <c r="U24" s="93" t="str">
        <f>IF($BB24="","",IF(U$6=$BJ24,"◆",IF(AND(U$6&gt;=$BF24,U$6&lt;=$BG24),IF(AND(U$6&gt;=$BD24,U$6&lt;=$BE24),"実","外"),IF(AND(U$6&gt;=$BD24,U$6&lt;=$BE24),"計",IF(AND(U$6&gt;=$BH24,U$6&lt;=$BI24),"遅","")))))</f>
        <v/>
      </c>
      <c r="V24" s="93" t="str">
        <f>IF($BB24="","",IF(V$6=$BJ24,"◆",IF(AND(V$6&gt;=$BF24,V$6&lt;=$BG24),IF(AND(V$6&gt;=$BD24,V$6&lt;=$BE24),"実","外"),IF(AND(V$6&gt;=$BD24,V$6&lt;=$BE24),"計",IF(AND(V$6&gt;=$BH24,V$6&lt;=$BI24),"遅","")))))</f>
        <v/>
      </c>
      <c r="W24" s="93" t="str">
        <f>IF($BB24="","",IF(W$6=$BJ24,"◆",IF(AND(W$6&gt;=$BF24,W$6&lt;=$BG24),IF(AND(W$6&gt;=$BD24,W$6&lt;=$BE24),"実","外"),IF(AND(W$6&gt;=$BD24,W$6&lt;=$BE24),"計",IF(AND(W$6&gt;=$BH24,W$6&lt;=$BI24),"遅","")))))</f>
        <v/>
      </c>
      <c r="X24" s="93" t="str">
        <f>IF($BB24="","",IF(X$6=$BJ24,"◆",IF(AND(X$6&gt;=$BF24,X$6&lt;=$BG24),IF(AND(X$6&gt;=$BD24,X$6&lt;=$BE24),"実","外"),IF(AND(X$6&gt;=$BD24,X$6&lt;=$BE24),"計",IF(AND(X$6&gt;=$BH24,X$6&lt;=$BI24),"遅","")))))</f>
        <v/>
      </c>
      <c r="Y24" s="93" t="str">
        <f>IF($BB24="","",IF(Y$6=$BJ24,"◆",IF(AND(Y$6&gt;=$BF24,Y$6&lt;=$BG24),IF(AND(Y$6&gt;=$BD24,Y$6&lt;=$BE24),"実","外"),IF(AND(Y$6&gt;=$BD24,Y$6&lt;=$BE24),"計",IF(AND(Y$6&gt;=$BH24,Y$6&lt;=$BI24),"遅","")))))</f>
        <v/>
      </c>
      <c r="Z24" s="93" t="str">
        <f>IF($BB24="","",IF(Z$6=$BJ24,"◆",IF(AND(Z$6&gt;=$BF24,Z$6&lt;=$BG24),IF(AND(Z$6&gt;=$BD24,Z$6&lt;=$BE24),"実","外"),IF(AND(Z$6&gt;=$BD24,Z$6&lt;=$BE24),"計",IF(AND(Z$6&gt;=$BH24,Z$6&lt;=$BI24),"遅","")))))</f>
        <v/>
      </c>
      <c r="AA24" s="93" t="str">
        <f>IF($BB24="","",IF(AA$6=$BJ24,"◆",IF(AND(AA$6&gt;=$BF24,AA$6&lt;=$BG24),IF(AND(AA$6&gt;=$BD24,AA$6&lt;=$BE24),"実","外"),IF(AND(AA$6&gt;=$BD24,AA$6&lt;=$BE24),"計",IF(AND(AA$6&gt;=$BH24,AA$6&lt;=$BI24),"遅","")))))</f>
        <v/>
      </c>
      <c r="AB24" s="93" t="str">
        <f>IF($BB24="","",IF(AB$6=$BJ24,"◆",IF(AND(AB$6&gt;=$BF24,AB$6&lt;=$BG24),IF(AND(AB$6&gt;=$BD24,AB$6&lt;=$BE24),"実","外"),IF(AND(AB$6&gt;=$BD24,AB$6&lt;=$BE24),"計",IF(AND(AB$6&gt;=$BH24,AB$6&lt;=$BI24),"遅","")))))</f>
        <v/>
      </c>
      <c r="AC24" s="93" t="str">
        <f>IF($BB24="","",IF(AC$6=$BJ24,"◆",IF(AND(AC$6&gt;=$BF24,AC$6&lt;=$BG24),IF(AND(AC$6&gt;=$BD24,AC$6&lt;=$BE24),"実","外"),IF(AND(AC$6&gt;=$BD24,AC$6&lt;=$BE24),"計",IF(AND(AC$6&gt;=$BH24,AC$6&lt;=$BI24),"遅","")))))</f>
        <v/>
      </c>
      <c r="AD24" s="93" t="str">
        <f>IF($BB24="","",IF(AD$6=$BJ24,"◆",IF(AND(AD$6&gt;=$BF24,AD$6&lt;=$BG24),IF(AND(AD$6&gt;=$BD24,AD$6&lt;=$BE24),"実","外"),IF(AND(AD$6&gt;=$BD24,AD$6&lt;=$BE24),"計",IF(AND(AD$6&gt;=$BH24,AD$6&lt;=$BI24),"遅","")))))</f>
        <v/>
      </c>
      <c r="AE24" s="93" t="str">
        <f>IF($BB24="","",IF(AE$6=$BJ24,"◆",IF(AND(AE$6&gt;=$BF24,AE$6&lt;=$BG24),IF(AND(AE$6&gt;=$BD24,AE$6&lt;=$BE24),"実","外"),IF(AND(AE$6&gt;=$BD24,AE$6&lt;=$BE24),"計",IF(AND(AE$6&gt;=$BH24,AE$6&lt;=$BI24),"遅","")))))</f>
        <v/>
      </c>
      <c r="AF24" s="93" t="str">
        <f>IF($BB24="","",IF(AF$6=$BJ24,"◆",IF(AND(AF$6&gt;=$BF24,AF$6&lt;=$BG24),IF(AND(AF$6&gt;=$BD24,AF$6&lt;=$BE24),"実","外"),IF(AND(AF$6&gt;=$BD24,AF$6&lt;=$BE24),"計",IF(AND(AF$6&gt;=$BH24,AF$6&lt;=$BI24),"遅","")))))</f>
        <v>計</v>
      </c>
      <c r="AG24" s="93" t="str">
        <f>IF($BB24="","",IF(AG$6=$BJ24,"◆",IF(AND(AG$6&gt;=$BF24,AG$6&lt;=$BG24),IF(AND(AG$6&gt;=$BD24,AG$6&lt;=$BE24),"実","外"),IF(AND(AG$6&gt;=$BD24,AG$6&lt;=$BE24),"計",IF(AND(AG$6&gt;=$BH24,AG$6&lt;=$BI24),"遅","")))))</f>
        <v>計</v>
      </c>
      <c r="AH24" s="93" t="str">
        <f>IF($BB24="","",IF(AH$6=$BJ24,"◆",IF(AND(AH$6&gt;=$BF24,AH$6&lt;=$BG24),IF(AND(AH$6&gt;=$BD24,AH$6&lt;=$BE24),"実","外"),IF(AND(AH$6&gt;=$BD24,AH$6&lt;=$BE24),"計",IF(AND(AH$6&gt;=$BH24,AH$6&lt;=$BI24),"遅","")))))</f>
        <v>計</v>
      </c>
      <c r="AI24" s="93" t="str">
        <f>IF($BB24="","",IF(AI$6=$BJ24,"◆",IF(AND(AI$6&gt;=$BF24,AI$6&lt;=$BG24),IF(AND(AI$6&gt;=$BD24,AI$6&lt;=$BE24),"実","外"),IF(AND(AI$6&gt;=$BD24,AI$6&lt;=$BE24),"計",IF(AND(AI$6&gt;=$BH24,AI$6&lt;=$BI24),"遅","")))))</f>
        <v>計</v>
      </c>
      <c r="AJ24" s="93" t="str">
        <f>IF($BB24="","",IF(AJ$6=$BJ24,"◆",IF(AND(AJ$6&gt;=$BF24,AJ$6&lt;=$BG24),IF(AND(AJ$6&gt;=$BD24,AJ$6&lt;=$BE24),"実","外"),IF(AND(AJ$6&gt;=$BD24,AJ$6&lt;=$BE24),"計",IF(AND(AJ$6&gt;=$BH24,AJ$6&lt;=$BI24),"遅","")))))</f>
        <v>計</v>
      </c>
      <c r="AK24" s="93" t="str">
        <f>IF($BB24="","",IF(AK$6=$BJ24,"◆",IF(AND(AK$6&gt;=$BF24,AK$6&lt;=$BG24),IF(AND(AK$6&gt;=$BD24,AK$6&lt;=$BE24),"実","外"),IF(AND(AK$6&gt;=$BD24,AK$6&lt;=$BE24),"計",IF(AND(AK$6&gt;=$BH24,AK$6&lt;=$BI24),"遅","")))))</f>
        <v>計</v>
      </c>
      <c r="AL24" s="93" t="str">
        <f>IF($BB24="","",IF(AL$6=$BJ24,"◆",IF(AND(AL$6&gt;=$BF24,AL$6&lt;=$BG24),IF(AND(AL$6&gt;=$BD24,AL$6&lt;=$BE24),"実","外"),IF(AND(AL$6&gt;=$BD24,AL$6&lt;=$BE24),"計",IF(AND(AL$6&gt;=$BH24,AL$6&lt;=$BI24),"遅","")))))</f>
        <v>計</v>
      </c>
      <c r="AM24" s="93" t="str">
        <f>IF($BB24="","",IF(AM$6=$BJ24,"◆",IF(AND(AM$6&gt;=$BF24,AM$6&lt;=$BG24),IF(AND(AM$6&gt;=$BD24,AM$6&lt;=$BE24),"実","外"),IF(AND(AM$6&gt;=$BD24,AM$6&lt;=$BE24),"計",IF(AND(AM$6&gt;=$BH24,AM$6&lt;=$BI24),"遅","")))))</f>
        <v>計</v>
      </c>
      <c r="AN24" s="93" t="str">
        <f>IF($BB24="","",IF(AN$6=$BJ24,"◆",IF(AND(AN$6&gt;=$BF24,AN$6&lt;=$BG24),IF(AND(AN$6&gt;=$BD24,AN$6&lt;=$BE24),"実","外"),IF(AND(AN$6&gt;=$BD24,AN$6&lt;=$BE24),"計",IF(AND(AN$6&gt;=$BH24,AN$6&lt;=$BI24),"遅","")))))</f>
        <v>計</v>
      </c>
      <c r="AO24" s="93" t="str">
        <f>IF($BB24="","",IF(AO$6=$BJ24,"◆",IF(AND(AO$6&gt;=$BF24,AO$6&lt;=$BG24),IF(AND(AO$6&gt;=$BD24,AO$6&lt;=$BE24),"実","外"),IF(AND(AO$6&gt;=$BD24,AO$6&lt;=$BE24),"計",IF(AND(AO$6&gt;=$BH24,AO$6&lt;=$BI24),"遅","")))))</f>
        <v/>
      </c>
      <c r="AP24" s="93" t="str">
        <f>IF($BB24="","",IF(AP$6=$BJ24,"◆",IF(AND(AP$6&gt;=$BF24,AP$6&lt;=$BG24),IF(AND(AP$6&gt;=$BD24,AP$6&lt;=$BE24),"実","外"),IF(AND(AP$6&gt;=$BD24,AP$6&lt;=$BE24),"計",IF(AND(AP$6&gt;=$BH24,AP$6&lt;=$BI24),"遅","")))))</f>
        <v/>
      </c>
      <c r="AQ24" s="93" t="str">
        <f>IF($BB24="","",IF(AQ$6=$BJ24,"◆",IF(AND(AQ$6&gt;=$BF24,AQ$6&lt;=$BG24),IF(AND(AQ$6&gt;=$BD24,AQ$6&lt;=$BE24),"実","外"),IF(AND(AQ$6&gt;=$BD24,AQ$6&lt;=$BE24),"計",IF(AND(AQ$6&gt;=$BH24,AQ$6&lt;=$BI24),"遅","")))))</f>
        <v>◆</v>
      </c>
      <c r="AR24" s="93" t="str">
        <f>IF($BB24="","",IF(AR$6=$BJ24,"◆",IF(AND(AR$6&gt;=$BF24,AR$6&lt;=$BG24),IF(AND(AR$6&gt;=$BD24,AR$6&lt;=$BE24),"実","外"),IF(AND(AR$6&gt;=$BD24,AR$6&lt;=$BE24),"計",IF(AND(AR$6&gt;=$BH24,AR$6&lt;=$BI24),"遅","")))))</f>
        <v/>
      </c>
      <c r="AS24" s="93" t="str">
        <f>IF($BB24="","",IF(AS$6=$BJ24,"◆",IF(AND(AS$6&gt;=$BF24,AS$6&lt;=$BG24),IF(AND(AS$6&gt;=$BD24,AS$6&lt;=$BE24),"実","外"),IF(AND(AS$6&gt;=$BD24,AS$6&lt;=$BE24),"計",IF(AND(AS$6&gt;=$BH24,AS$6&lt;=$BI24),"遅","")))))</f>
        <v/>
      </c>
      <c r="AT24" s="93" t="str">
        <f>IF($BB24="","",IF(AT$6=$BJ24,"◆",IF(AND(AT$6&gt;=$BF24,AT$6&lt;=$BG24),IF(AND(AT$6&gt;=$BD24,AT$6&lt;=$BE24),"実","外"),IF(AND(AT$6&gt;=$BD24,AT$6&lt;=$BE24),"計",IF(AND(AT$6&gt;=$BH24,AT$6&lt;=$BI24),"遅","")))))</f>
        <v/>
      </c>
      <c r="AU24" s="93" t="str">
        <f>IF($BB24="","",IF(AU$6=$BJ24,"◆",IF(AND(AU$6&gt;=$BF24,AU$6&lt;=$BG24),IF(AND(AU$6&gt;=$BD24,AU$6&lt;=$BE24),"実","外"),IF(AND(AU$6&gt;=$BD24,AU$6&lt;=$BE24),"計",IF(AND(AU$6&gt;=$BH24,AU$6&lt;=$BI24),"遅","")))))</f>
        <v/>
      </c>
      <c r="AV24" s="93" t="str">
        <f>IF($BB24="","",IF(AV$6=$BJ24,"◆",IF(AND(AV$6&gt;=$BF24,AV$6&lt;=$BG24),IF(AND(AV$6&gt;=$BD24,AV$6&lt;=$BE24),"実","外"),IF(AND(AV$6&gt;=$BD24,AV$6&lt;=$BE24),"計",IF(AND(AV$6&gt;=$BH24,AV$6&lt;=$BI24),"遅","")))))</f>
        <v/>
      </c>
      <c r="AW24" s="93" t="str">
        <f>IF($BB24="","",IF(AW$6=$BJ24,"◆",IF(AND(AW$6&gt;=$BF24,AW$6&lt;=$BG24),IF(AND(AW$6&gt;=$BD24,AW$6&lt;=$BE24),"実","外"),IF(AND(AW$6&gt;=$BD24,AW$6&lt;=$BE24),"計",IF(AND(AW$6&gt;=$BH24,AW$6&lt;=$BI24),"遅","")))))</f>
        <v/>
      </c>
      <c r="AX24" s="93" t="str">
        <f>IF($BB24="","",IF(AX$6=$BJ24,"◆",IF(AND(AX$6&gt;=$BF24,AX$6&lt;=$BG24),IF(AND(AX$6&gt;=$BD24,AX$6&lt;=$BE24),"実","外"),IF(AND(AX$6&gt;=$BD24,AX$6&lt;=$BE24),"計",IF(AND(AX$6&gt;=$BH24,AX$6&lt;=$BI24),"遅","")))))</f>
        <v/>
      </c>
      <c r="AY24" s="93" t="str">
        <f>IF($BB24="","",IF(AY$6=$BJ24,"◆",IF(AND(AY$6&gt;=$BF24,AY$6&lt;=$BG24),IF(AND(AY$6&gt;=$BD24,AY$6&lt;=$BE24),"実","外"),IF(AND(AY$6&gt;=$BD24,AY$6&lt;=$BE24),"計",IF(AND(AY$6&gt;=$BH24,AY$6&lt;=$BI24),"遅","")))))</f>
        <v/>
      </c>
      <c r="AZ24" s="93" t="str">
        <f>IF($BB24="","",IF(AZ$6=$BJ24,"◆",IF(AND(AZ$6&gt;=$BF24,AZ$6&lt;=$BG24),IF(AND(AZ$6&gt;=$BD24,AZ$6&lt;=$BE24),"実","外"),IF(AND(AZ$6&gt;=$BD24,AZ$6&lt;=$BE24),"計",IF(AND(AZ$6&gt;=$BH24,AZ$6&lt;=$BI24),"遅","")))))</f>
        <v/>
      </c>
      <c r="BB24">
        <f>IF(17&gt;COUNTIF(tblSteps[日別対象],1),"",IFERROR(MATCH(17,tblSteps[日別順位],0),""))</f>
        <v>14</v>
      </c>
      <c r="BC24" t="str">
        <f>IF($BB24="","",INDEX(tblSteps[案件ID],$BB24)&amp;"")</f>
        <v>A0021</v>
      </c>
      <c r="BD24">
        <f>IF($BB24="","",INDEX(tblSteps[計開],$BB24))</f>
        <v>46314</v>
      </c>
      <c r="BE24">
        <f>IF($BB24="","",INDEX(tblSteps[計終],$BB24))</f>
        <v>46322</v>
      </c>
      <c r="BF24">
        <f>IF($BB24="","",INDEX(tblSteps[実開],$BB24))</f>
        <v>1</v>
      </c>
      <c r="BG24">
        <f>IF($BB24="","",INDEX(tblSteps[実終],$BB24))</f>
        <v>0</v>
      </c>
      <c r="BH24">
        <f>IF($BB24="","",INDEX(tblSteps[遅開],$BB24))</f>
        <v>46323</v>
      </c>
      <c r="BI24">
        <f>IF($BB24="","",INDEX(tblSteps[遅終],$BB24))</f>
        <v>0</v>
      </c>
      <c r="BJ24">
        <f>IF($BB24="","",INDEX(tblSteps[納期値],$BB24))</f>
        <v>46325</v>
      </c>
    </row>
    <row r="25" ht="18" customHeight="1">
      <c r="A25" s="89" t="str">
        <f>IF($BB25="","",INDEX(tblSteps[工程ID],$BB25)&amp;"")</f>
        <v>S0015</v>
      </c>
      <c r="B25" s="88" t="str">
        <f>IF($BB25="","",IF($BC25=$BC24,"",$BC25&amp;" "&amp;INDEX(tblSteps[案件名],$BB25)))</f>
        <v/>
      </c>
      <c r="C25" s="88" t="str">
        <f>IF($BB25="","",INDEX(tblSteps[工程名],$BB25)&amp;"")</f>
        <v>試運転調整</v>
      </c>
      <c r="D25" s="89" t="str">
        <f>IF($BB25="","",INDEX(tblSteps[担当],$BB25)&amp;"")</f>
        <v>高橋</v>
      </c>
      <c r="E25" s="89" t="str">
        <f>IF($BB25="","",INDEX(tblSteps[状態],$BB25)&amp;"")</f>
        <v>未着手</v>
      </c>
      <c r="F25" s="90">
        <f>IF($BB25="","",IF(ISNUMBER(INDEX(tblSteps[進捗率],$BB25)),INDEX(tblSteps[進捗率],$BB25),""))</f>
        <v>0</v>
      </c>
      <c r="G25" s="91">
        <f>IF($BB25="","",IF(ISNUMBER(INDEX(tblSteps[計画開始日],$BB25)),INDEX(tblSteps[計画開始日],$BB25),"未入力"))</f>
        <v>46323.0</v>
      </c>
      <c r="H25" s="91">
        <f>IF($BB25="","",IF(ISNUMBER(INDEX(tblSteps[計画終了日],$BB25)),INDEX(tblSteps[計画終了日],$BB25),"未入力"))</f>
        <v>46328.0</v>
      </c>
      <c r="I25" s="91" t="str">
        <f>IF($BB25="","",IF(ISNUMBER(INDEX(tblSteps[完了見込日],$BB25)),INDEX(tblSteps[完了見込日],$BB25),""))</f>
        <v/>
      </c>
      <c r="J25" s="92" t="str">
        <f>IF($BB25="","",INDEX(tblSteps[注意短],$BB25)&amp;"")</f>
        <v>納期遅れ見込</v>
      </c>
      <c r="K25" s="93" t="str">
        <f>IF($BB25="","",IF(K$6=$BJ25,"◆",IF(AND(K$6&gt;=$BF25,K$6&lt;=$BG25),IF(AND(K$6&gt;=$BD25,K$6&lt;=$BE25),"実","外"),IF(AND(K$6&gt;=$BD25,K$6&lt;=$BE25),"計",IF(AND(K$6&gt;=$BH25,K$6&lt;=$BI25),"遅","")))))</f>
        <v/>
      </c>
      <c r="L25" s="93" t="str">
        <f>IF($BB25="","",IF(L$6=$BJ25,"◆",IF(AND(L$6&gt;=$BF25,L$6&lt;=$BG25),IF(AND(L$6&gt;=$BD25,L$6&lt;=$BE25),"実","外"),IF(AND(L$6&gt;=$BD25,L$6&lt;=$BE25),"計",IF(AND(L$6&gt;=$BH25,L$6&lt;=$BI25),"遅","")))))</f>
        <v/>
      </c>
      <c r="M25" s="93" t="str">
        <f>IF($BB25="","",IF(M$6=$BJ25,"◆",IF(AND(M$6&gt;=$BF25,M$6&lt;=$BG25),IF(AND(M$6&gt;=$BD25,M$6&lt;=$BE25),"実","外"),IF(AND(M$6&gt;=$BD25,M$6&lt;=$BE25),"計",IF(AND(M$6&gt;=$BH25,M$6&lt;=$BI25),"遅","")))))</f>
        <v/>
      </c>
      <c r="N25" s="93" t="str">
        <f>IF($BB25="","",IF(N$6=$BJ25,"◆",IF(AND(N$6&gt;=$BF25,N$6&lt;=$BG25),IF(AND(N$6&gt;=$BD25,N$6&lt;=$BE25),"実","外"),IF(AND(N$6&gt;=$BD25,N$6&lt;=$BE25),"計",IF(AND(N$6&gt;=$BH25,N$6&lt;=$BI25),"遅","")))))</f>
        <v/>
      </c>
      <c r="O25" s="93" t="str">
        <f>IF($BB25="","",IF(O$6=$BJ25,"◆",IF(AND(O$6&gt;=$BF25,O$6&lt;=$BG25),IF(AND(O$6&gt;=$BD25,O$6&lt;=$BE25),"実","外"),IF(AND(O$6&gt;=$BD25,O$6&lt;=$BE25),"計",IF(AND(O$6&gt;=$BH25,O$6&lt;=$BI25),"遅","")))))</f>
        <v/>
      </c>
      <c r="P25" s="93" t="str">
        <f>IF($BB25="","",IF(P$6=$BJ25,"◆",IF(AND(P$6&gt;=$BF25,P$6&lt;=$BG25),IF(AND(P$6&gt;=$BD25,P$6&lt;=$BE25),"実","外"),IF(AND(P$6&gt;=$BD25,P$6&lt;=$BE25),"計",IF(AND(P$6&gt;=$BH25,P$6&lt;=$BI25),"遅","")))))</f>
        <v/>
      </c>
      <c r="Q25" s="93" t="str">
        <f>IF($BB25="","",IF(Q$6=$BJ25,"◆",IF(AND(Q$6&gt;=$BF25,Q$6&lt;=$BG25),IF(AND(Q$6&gt;=$BD25,Q$6&lt;=$BE25),"実","外"),IF(AND(Q$6&gt;=$BD25,Q$6&lt;=$BE25),"計",IF(AND(Q$6&gt;=$BH25,Q$6&lt;=$BI25),"遅","")))))</f>
        <v/>
      </c>
      <c r="R25" s="93" t="str">
        <f>IF($BB25="","",IF(R$6=$BJ25,"◆",IF(AND(R$6&gt;=$BF25,R$6&lt;=$BG25),IF(AND(R$6&gt;=$BD25,R$6&lt;=$BE25),"実","外"),IF(AND(R$6&gt;=$BD25,R$6&lt;=$BE25),"計",IF(AND(R$6&gt;=$BH25,R$6&lt;=$BI25),"遅","")))))</f>
        <v/>
      </c>
      <c r="S25" s="93" t="str">
        <f>IF($BB25="","",IF(S$6=$BJ25,"◆",IF(AND(S$6&gt;=$BF25,S$6&lt;=$BG25),IF(AND(S$6&gt;=$BD25,S$6&lt;=$BE25),"実","外"),IF(AND(S$6&gt;=$BD25,S$6&lt;=$BE25),"計",IF(AND(S$6&gt;=$BH25,S$6&lt;=$BI25),"遅","")))))</f>
        <v/>
      </c>
      <c r="T25" s="93" t="str">
        <f>IF($BB25="","",IF(T$6=$BJ25,"◆",IF(AND(T$6&gt;=$BF25,T$6&lt;=$BG25),IF(AND(T$6&gt;=$BD25,T$6&lt;=$BE25),"実","外"),IF(AND(T$6&gt;=$BD25,T$6&lt;=$BE25),"計",IF(AND(T$6&gt;=$BH25,T$6&lt;=$BI25),"遅","")))))</f>
        <v/>
      </c>
      <c r="U25" s="93" t="str">
        <f>IF($BB25="","",IF(U$6=$BJ25,"◆",IF(AND(U$6&gt;=$BF25,U$6&lt;=$BG25),IF(AND(U$6&gt;=$BD25,U$6&lt;=$BE25),"実","外"),IF(AND(U$6&gt;=$BD25,U$6&lt;=$BE25),"計",IF(AND(U$6&gt;=$BH25,U$6&lt;=$BI25),"遅","")))))</f>
        <v/>
      </c>
      <c r="V25" s="93" t="str">
        <f>IF($BB25="","",IF(V$6=$BJ25,"◆",IF(AND(V$6&gt;=$BF25,V$6&lt;=$BG25),IF(AND(V$6&gt;=$BD25,V$6&lt;=$BE25),"実","外"),IF(AND(V$6&gt;=$BD25,V$6&lt;=$BE25),"計",IF(AND(V$6&gt;=$BH25,V$6&lt;=$BI25),"遅","")))))</f>
        <v/>
      </c>
      <c r="W25" s="93" t="str">
        <f>IF($BB25="","",IF(W$6=$BJ25,"◆",IF(AND(W$6&gt;=$BF25,W$6&lt;=$BG25),IF(AND(W$6&gt;=$BD25,W$6&lt;=$BE25),"実","外"),IF(AND(W$6&gt;=$BD25,W$6&lt;=$BE25),"計",IF(AND(W$6&gt;=$BH25,W$6&lt;=$BI25),"遅","")))))</f>
        <v/>
      </c>
      <c r="X25" s="93" t="str">
        <f>IF($BB25="","",IF(X$6=$BJ25,"◆",IF(AND(X$6&gt;=$BF25,X$6&lt;=$BG25),IF(AND(X$6&gt;=$BD25,X$6&lt;=$BE25),"実","外"),IF(AND(X$6&gt;=$BD25,X$6&lt;=$BE25),"計",IF(AND(X$6&gt;=$BH25,X$6&lt;=$BI25),"遅","")))))</f>
        <v/>
      </c>
      <c r="Y25" s="93" t="str">
        <f>IF($BB25="","",IF(Y$6=$BJ25,"◆",IF(AND(Y$6&gt;=$BF25,Y$6&lt;=$BG25),IF(AND(Y$6&gt;=$BD25,Y$6&lt;=$BE25),"実","外"),IF(AND(Y$6&gt;=$BD25,Y$6&lt;=$BE25),"計",IF(AND(Y$6&gt;=$BH25,Y$6&lt;=$BI25),"遅","")))))</f>
        <v/>
      </c>
      <c r="Z25" s="93" t="str">
        <f>IF($BB25="","",IF(Z$6=$BJ25,"◆",IF(AND(Z$6&gt;=$BF25,Z$6&lt;=$BG25),IF(AND(Z$6&gt;=$BD25,Z$6&lt;=$BE25),"実","外"),IF(AND(Z$6&gt;=$BD25,Z$6&lt;=$BE25),"計",IF(AND(Z$6&gt;=$BH25,Z$6&lt;=$BI25),"遅","")))))</f>
        <v/>
      </c>
      <c r="AA25" s="93" t="str">
        <f>IF($BB25="","",IF(AA$6=$BJ25,"◆",IF(AND(AA$6&gt;=$BF25,AA$6&lt;=$BG25),IF(AND(AA$6&gt;=$BD25,AA$6&lt;=$BE25),"実","外"),IF(AND(AA$6&gt;=$BD25,AA$6&lt;=$BE25),"計",IF(AND(AA$6&gt;=$BH25,AA$6&lt;=$BI25),"遅","")))))</f>
        <v/>
      </c>
      <c r="AB25" s="93" t="str">
        <f>IF($BB25="","",IF(AB$6=$BJ25,"◆",IF(AND(AB$6&gt;=$BF25,AB$6&lt;=$BG25),IF(AND(AB$6&gt;=$BD25,AB$6&lt;=$BE25),"実","外"),IF(AND(AB$6&gt;=$BD25,AB$6&lt;=$BE25),"計",IF(AND(AB$6&gt;=$BH25,AB$6&lt;=$BI25),"遅","")))))</f>
        <v/>
      </c>
      <c r="AC25" s="93" t="str">
        <f>IF($BB25="","",IF(AC$6=$BJ25,"◆",IF(AND(AC$6&gt;=$BF25,AC$6&lt;=$BG25),IF(AND(AC$6&gt;=$BD25,AC$6&lt;=$BE25),"実","外"),IF(AND(AC$6&gt;=$BD25,AC$6&lt;=$BE25),"計",IF(AND(AC$6&gt;=$BH25,AC$6&lt;=$BI25),"遅","")))))</f>
        <v/>
      </c>
      <c r="AD25" s="93" t="str">
        <f>IF($BB25="","",IF(AD$6=$BJ25,"◆",IF(AND(AD$6&gt;=$BF25,AD$6&lt;=$BG25),IF(AND(AD$6&gt;=$BD25,AD$6&lt;=$BE25),"実","外"),IF(AND(AD$6&gt;=$BD25,AD$6&lt;=$BE25),"計",IF(AND(AD$6&gt;=$BH25,AD$6&lt;=$BI25),"遅","")))))</f>
        <v/>
      </c>
      <c r="AE25" s="93" t="str">
        <f>IF($BB25="","",IF(AE$6=$BJ25,"◆",IF(AND(AE$6&gt;=$BF25,AE$6&lt;=$BG25),IF(AND(AE$6&gt;=$BD25,AE$6&lt;=$BE25),"実","外"),IF(AND(AE$6&gt;=$BD25,AE$6&lt;=$BE25),"計",IF(AND(AE$6&gt;=$BH25,AE$6&lt;=$BI25),"遅","")))))</f>
        <v/>
      </c>
      <c r="AF25" s="93" t="str">
        <f>IF($BB25="","",IF(AF$6=$BJ25,"◆",IF(AND(AF$6&gt;=$BF25,AF$6&lt;=$BG25),IF(AND(AF$6&gt;=$BD25,AF$6&lt;=$BE25),"実","外"),IF(AND(AF$6&gt;=$BD25,AF$6&lt;=$BE25),"計",IF(AND(AF$6&gt;=$BH25,AF$6&lt;=$BI25),"遅","")))))</f>
        <v/>
      </c>
      <c r="AG25" s="93" t="str">
        <f>IF($BB25="","",IF(AG$6=$BJ25,"◆",IF(AND(AG$6&gt;=$BF25,AG$6&lt;=$BG25),IF(AND(AG$6&gt;=$BD25,AG$6&lt;=$BE25),"実","外"),IF(AND(AG$6&gt;=$BD25,AG$6&lt;=$BE25),"計",IF(AND(AG$6&gt;=$BH25,AG$6&lt;=$BI25),"遅","")))))</f>
        <v/>
      </c>
      <c r="AH25" s="93" t="str">
        <f>IF($BB25="","",IF(AH$6=$BJ25,"◆",IF(AND(AH$6&gt;=$BF25,AH$6&lt;=$BG25),IF(AND(AH$6&gt;=$BD25,AH$6&lt;=$BE25),"実","外"),IF(AND(AH$6&gt;=$BD25,AH$6&lt;=$BE25),"計",IF(AND(AH$6&gt;=$BH25,AH$6&lt;=$BI25),"遅","")))))</f>
        <v/>
      </c>
      <c r="AI25" s="93" t="str">
        <f>IF($BB25="","",IF(AI$6=$BJ25,"◆",IF(AND(AI$6&gt;=$BF25,AI$6&lt;=$BG25),IF(AND(AI$6&gt;=$BD25,AI$6&lt;=$BE25),"実","外"),IF(AND(AI$6&gt;=$BD25,AI$6&lt;=$BE25),"計",IF(AND(AI$6&gt;=$BH25,AI$6&lt;=$BI25),"遅","")))))</f>
        <v/>
      </c>
      <c r="AJ25" s="93" t="str">
        <f>IF($BB25="","",IF(AJ$6=$BJ25,"◆",IF(AND(AJ$6&gt;=$BF25,AJ$6&lt;=$BG25),IF(AND(AJ$6&gt;=$BD25,AJ$6&lt;=$BE25),"実","外"),IF(AND(AJ$6&gt;=$BD25,AJ$6&lt;=$BE25),"計",IF(AND(AJ$6&gt;=$BH25,AJ$6&lt;=$BI25),"遅","")))))</f>
        <v/>
      </c>
      <c r="AK25" s="93" t="str">
        <f>IF($BB25="","",IF(AK$6=$BJ25,"◆",IF(AND(AK$6&gt;=$BF25,AK$6&lt;=$BG25),IF(AND(AK$6&gt;=$BD25,AK$6&lt;=$BE25),"実","外"),IF(AND(AK$6&gt;=$BD25,AK$6&lt;=$BE25),"計",IF(AND(AK$6&gt;=$BH25,AK$6&lt;=$BI25),"遅","")))))</f>
        <v/>
      </c>
      <c r="AL25" s="93" t="str">
        <f>IF($BB25="","",IF(AL$6=$BJ25,"◆",IF(AND(AL$6&gt;=$BF25,AL$6&lt;=$BG25),IF(AND(AL$6&gt;=$BD25,AL$6&lt;=$BE25),"実","外"),IF(AND(AL$6&gt;=$BD25,AL$6&lt;=$BE25),"計",IF(AND(AL$6&gt;=$BH25,AL$6&lt;=$BI25),"遅","")))))</f>
        <v/>
      </c>
      <c r="AM25" s="93" t="str">
        <f>IF($BB25="","",IF(AM$6=$BJ25,"◆",IF(AND(AM$6&gt;=$BF25,AM$6&lt;=$BG25),IF(AND(AM$6&gt;=$BD25,AM$6&lt;=$BE25),"実","外"),IF(AND(AM$6&gt;=$BD25,AM$6&lt;=$BE25),"計",IF(AND(AM$6&gt;=$BH25,AM$6&lt;=$BI25),"遅","")))))</f>
        <v/>
      </c>
      <c r="AN25" s="93" t="str">
        <f>IF($BB25="","",IF(AN$6=$BJ25,"◆",IF(AND(AN$6&gt;=$BF25,AN$6&lt;=$BG25),IF(AND(AN$6&gt;=$BD25,AN$6&lt;=$BE25),"実","外"),IF(AND(AN$6&gt;=$BD25,AN$6&lt;=$BE25),"計",IF(AND(AN$6&gt;=$BH25,AN$6&lt;=$BI25),"遅","")))))</f>
        <v/>
      </c>
      <c r="AO25" s="93" t="str">
        <f>IF($BB25="","",IF(AO$6=$BJ25,"◆",IF(AND(AO$6&gt;=$BF25,AO$6&lt;=$BG25),IF(AND(AO$6&gt;=$BD25,AO$6&lt;=$BE25),"実","外"),IF(AND(AO$6&gt;=$BD25,AO$6&lt;=$BE25),"計",IF(AND(AO$6&gt;=$BH25,AO$6&lt;=$BI25),"遅","")))))</f>
        <v>計</v>
      </c>
      <c r="AP25" s="93" t="str">
        <f>IF($BB25="","",IF(AP$6=$BJ25,"◆",IF(AND(AP$6&gt;=$BF25,AP$6&lt;=$BG25),IF(AND(AP$6&gt;=$BD25,AP$6&lt;=$BE25),"実","外"),IF(AND(AP$6&gt;=$BD25,AP$6&lt;=$BE25),"計",IF(AND(AP$6&gt;=$BH25,AP$6&lt;=$BI25),"遅","")))))</f>
        <v>計</v>
      </c>
      <c r="AQ25" s="93" t="str">
        <f>IF($BB25="","",IF(AQ$6=$BJ25,"◆",IF(AND(AQ$6&gt;=$BF25,AQ$6&lt;=$BG25),IF(AND(AQ$6&gt;=$BD25,AQ$6&lt;=$BE25),"実","外"),IF(AND(AQ$6&gt;=$BD25,AQ$6&lt;=$BE25),"計",IF(AND(AQ$6&gt;=$BH25,AQ$6&lt;=$BI25),"遅","")))))</f>
        <v>◆</v>
      </c>
      <c r="AR25" s="93" t="str">
        <f>IF($BB25="","",IF(AR$6=$BJ25,"◆",IF(AND(AR$6&gt;=$BF25,AR$6&lt;=$BG25),IF(AND(AR$6&gt;=$BD25,AR$6&lt;=$BE25),"実","外"),IF(AND(AR$6&gt;=$BD25,AR$6&lt;=$BE25),"計",IF(AND(AR$6&gt;=$BH25,AR$6&lt;=$BI25),"遅","")))))</f>
        <v>計</v>
      </c>
      <c r="AS25" s="93" t="str">
        <f>IF($BB25="","",IF(AS$6=$BJ25,"◆",IF(AND(AS$6&gt;=$BF25,AS$6&lt;=$BG25),IF(AND(AS$6&gt;=$BD25,AS$6&lt;=$BE25),"実","外"),IF(AND(AS$6&gt;=$BD25,AS$6&lt;=$BE25),"計",IF(AND(AS$6&gt;=$BH25,AS$6&lt;=$BI25),"遅","")))))</f>
        <v>計</v>
      </c>
      <c r="AT25" s="93" t="str">
        <f>IF($BB25="","",IF(AT$6=$BJ25,"◆",IF(AND(AT$6&gt;=$BF25,AT$6&lt;=$BG25),IF(AND(AT$6&gt;=$BD25,AT$6&lt;=$BE25),"実","外"),IF(AND(AT$6&gt;=$BD25,AT$6&lt;=$BE25),"計",IF(AND(AT$6&gt;=$BH25,AT$6&lt;=$BI25),"遅","")))))</f>
        <v>計</v>
      </c>
      <c r="AU25" s="93" t="str">
        <f>IF($BB25="","",IF(AU$6=$BJ25,"◆",IF(AND(AU$6&gt;=$BF25,AU$6&lt;=$BG25),IF(AND(AU$6&gt;=$BD25,AU$6&lt;=$BE25),"実","外"),IF(AND(AU$6&gt;=$BD25,AU$6&lt;=$BE25),"計",IF(AND(AU$6&gt;=$BH25,AU$6&lt;=$BI25),"遅","")))))</f>
        <v/>
      </c>
      <c r="AV25" s="93" t="str">
        <f>IF($BB25="","",IF(AV$6=$BJ25,"◆",IF(AND(AV$6&gt;=$BF25,AV$6&lt;=$BG25),IF(AND(AV$6&gt;=$BD25,AV$6&lt;=$BE25),"実","外"),IF(AND(AV$6&gt;=$BD25,AV$6&lt;=$BE25),"計",IF(AND(AV$6&gt;=$BH25,AV$6&lt;=$BI25),"遅","")))))</f>
        <v/>
      </c>
      <c r="AW25" s="93" t="str">
        <f>IF($BB25="","",IF(AW$6=$BJ25,"◆",IF(AND(AW$6&gt;=$BF25,AW$6&lt;=$BG25),IF(AND(AW$6&gt;=$BD25,AW$6&lt;=$BE25),"実","外"),IF(AND(AW$6&gt;=$BD25,AW$6&lt;=$BE25),"計",IF(AND(AW$6&gt;=$BH25,AW$6&lt;=$BI25),"遅","")))))</f>
        <v/>
      </c>
      <c r="AX25" s="93" t="str">
        <f>IF($BB25="","",IF(AX$6=$BJ25,"◆",IF(AND(AX$6&gt;=$BF25,AX$6&lt;=$BG25),IF(AND(AX$6&gt;=$BD25,AX$6&lt;=$BE25),"実","外"),IF(AND(AX$6&gt;=$BD25,AX$6&lt;=$BE25),"計",IF(AND(AX$6&gt;=$BH25,AX$6&lt;=$BI25),"遅","")))))</f>
        <v/>
      </c>
      <c r="AY25" s="93" t="str">
        <f>IF($BB25="","",IF(AY$6=$BJ25,"◆",IF(AND(AY$6&gt;=$BF25,AY$6&lt;=$BG25),IF(AND(AY$6&gt;=$BD25,AY$6&lt;=$BE25),"実","外"),IF(AND(AY$6&gt;=$BD25,AY$6&lt;=$BE25),"計",IF(AND(AY$6&gt;=$BH25,AY$6&lt;=$BI25),"遅","")))))</f>
        <v/>
      </c>
      <c r="AZ25" s="93" t="str">
        <f>IF($BB25="","",IF(AZ$6=$BJ25,"◆",IF(AND(AZ$6&gt;=$BF25,AZ$6&lt;=$BG25),IF(AND(AZ$6&gt;=$BD25,AZ$6&lt;=$BE25),"実","外"),IF(AND(AZ$6&gt;=$BD25,AZ$6&lt;=$BE25),"計",IF(AND(AZ$6&gt;=$BH25,AZ$6&lt;=$BI25),"遅","")))))</f>
        <v/>
      </c>
      <c r="BB25">
        <f>IF(18&gt;COUNTIF(tblSteps[日別対象],1),"",IFERROR(MATCH(18,tblSteps[日別順位],0),""))</f>
        <v>15</v>
      </c>
      <c r="BC25" t="str">
        <f>IF($BB25="","",INDEX(tblSteps[案件ID],$BB25)&amp;"")</f>
        <v>A0021</v>
      </c>
      <c r="BD25">
        <f>IF($BB25="","",INDEX(tblSteps[計開],$BB25))</f>
        <v>46323</v>
      </c>
      <c r="BE25">
        <f>IF($BB25="","",INDEX(tblSteps[計終],$BB25))</f>
        <v>46328</v>
      </c>
      <c r="BF25">
        <f>IF($BB25="","",INDEX(tblSteps[実開],$BB25))</f>
        <v>1</v>
      </c>
      <c r="BG25">
        <f>IF($BB25="","",INDEX(tblSteps[実終],$BB25))</f>
        <v>0</v>
      </c>
      <c r="BH25">
        <f>IF($BB25="","",INDEX(tblSteps[遅開],$BB25))</f>
        <v>46329</v>
      </c>
      <c r="BI25">
        <f>IF($BB25="","",INDEX(tblSteps[遅終],$BB25))</f>
        <v>0</v>
      </c>
      <c r="BJ25">
        <f>IF($BB25="","",INDEX(tblSteps[納期値],$BB25))</f>
        <v>46325</v>
      </c>
    </row>
    <row r="26" ht="18" customHeight="1">
      <c r="A26" s="89" t="str">
        <f>IF($BB26="","",INDEX(tblSteps[工程ID],$BB26)&amp;"")</f>
        <v>S0016</v>
      </c>
      <c r="B26" s="88" t="str">
        <f>IF($BB26="","",IF($BC26=$BC25,"",$BC26&amp;" "&amp;INDEX(tblSteps[案件名],$BB26)))</f>
        <v>A0022 制御盤更新工事</v>
      </c>
      <c r="C26" s="88" t="str">
        <f>IF($BB26="","",INDEX(tblSteps[工程名],$BB26)&amp;"")</f>
        <v>仕様確認</v>
      </c>
      <c r="D26" s="89" t="str">
        <f>IF($BB26="","",INDEX(tblSteps[担当],$BB26)&amp;"")</f>
        <v>田中</v>
      </c>
      <c r="E26" s="89" t="str">
        <f>IF($BB26="","",INDEX(tblSteps[状態],$BB26)&amp;"")</f>
        <v>完了</v>
      </c>
      <c r="F26" s="90">
        <f>IF($BB26="","",IF(ISNUMBER(INDEX(tblSteps[進捗率],$BB26)),INDEX(tblSteps[進捗率],$BB26),""))</f>
        <v>1</v>
      </c>
      <c r="G26" s="91">
        <f>IF($BB26="","",IF(ISNUMBER(INDEX(tblSteps[計画開始日],$BB26)),INDEX(tblSteps[計画開始日],$BB26),"未入力"))</f>
        <v>46289.0</v>
      </c>
      <c r="H26" s="91">
        <f>IF($BB26="","",IF(ISNUMBER(INDEX(tblSteps[計画終了日],$BB26)),INDEX(tblSteps[計画終了日],$BB26),"未入力"))</f>
        <v>46296.0</v>
      </c>
      <c r="I26" s="91" t="str">
        <f>IF($BB26="","",IF(ISNUMBER(INDEX(tblSteps[完了見込日],$BB26)),INDEX(tblSteps[完了見込日],$BB26),""))</f>
        <v/>
      </c>
      <c r="J26" s="92" t="str">
        <f>IF($BB26="","",INDEX(tblSteps[注意短],$BB26)&amp;"")</f>
        <v>完了遅延1日</v>
      </c>
      <c r="K26" s="93" t="str">
        <f>IF($BB26="","",IF(K$6=$BJ26,"◆",IF(AND(K$6&gt;=$BF26,K$6&lt;=$BG26),IF(AND(K$6&gt;=$BD26,K$6&lt;=$BE26),"実","外"),IF(AND(K$6&gt;=$BD26,K$6&lt;=$BE26),"計",IF(AND(K$6&gt;=$BH26,K$6&lt;=$BI26),"遅","")))))</f>
        <v>実</v>
      </c>
      <c r="L26" s="93" t="str">
        <f>IF($BB26="","",IF(L$6=$BJ26,"◆",IF(AND(L$6&gt;=$BF26,L$6&lt;=$BG26),IF(AND(L$6&gt;=$BD26,L$6&lt;=$BE26),"実","外"),IF(AND(L$6&gt;=$BD26,L$6&lt;=$BE26),"計",IF(AND(L$6&gt;=$BH26,L$6&lt;=$BI26),"遅","")))))</f>
        <v>実</v>
      </c>
      <c r="M26" s="93" t="str">
        <f>IF($BB26="","",IF(M$6=$BJ26,"◆",IF(AND(M$6&gt;=$BF26,M$6&lt;=$BG26),IF(AND(M$6&gt;=$BD26,M$6&lt;=$BE26),"実","外"),IF(AND(M$6&gt;=$BD26,M$6&lt;=$BE26),"計",IF(AND(M$6&gt;=$BH26,M$6&lt;=$BI26),"遅","")))))</f>
        <v>実</v>
      </c>
      <c r="N26" s="93" t="str">
        <f>IF($BB26="","",IF(N$6=$BJ26,"◆",IF(AND(N$6&gt;=$BF26,N$6&lt;=$BG26),IF(AND(N$6&gt;=$BD26,N$6&lt;=$BE26),"実","外"),IF(AND(N$6&gt;=$BD26,N$6&lt;=$BE26),"計",IF(AND(N$6&gt;=$BH26,N$6&lt;=$BI26),"遅","")))))</f>
        <v>実</v>
      </c>
      <c r="O26" s="93" t="str">
        <f>IF($BB26="","",IF(O$6=$BJ26,"◆",IF(AND(O$6&gt;=$BF26,O$6&lt;=$BG26),IF(AND(O$6&gt;=$BD26,O$6&lt;=$BE26),"実","外"),IF(AND(O$6&gt;=$BD26,O$6&lt;=$BE26),"計",IF(AND(O$6&gt;=$BH26,O$6&lt;=$BI26),"遅","")))))</f>
        <v>外</v>
      </c>
      <c r="P26" s="93" t="str">
        <f>IF($BB26="","",IF(P$6=$BJ26,"◆",IF(AND(P$6&gt;=$BF26,P$6&lt;=$BG26),IF(AND(P$6&gt;=$BD26,P$6&lt;=$BE26),"実","外"),IF(AND(P$6&gt;=$BD26,P$6&lt;=$BE26),"計",IF(AND(P$6&gt;=$BH26,P$6&lt;=$BI26),"遅","")))))</f>
        <v/>
      </c>
      <c r="Q26" s="93" t="str">
        <f>IF($BB26="","",IF(Q$6=$BJ26,"◆",IF(AND(Q$6&gt;=$BF26,Q$6&lt;=$BG26),IF(AND(Q$6&gt;=$BD26,Q$6&lt;=$BE26),"実","外"),IF(AND(Q$6&gt;=$BD26,Q$6&lt;=$BE26),"計",IF(AND(Q$6&gt;=$BH26,Q$6&lt;=$BI26),"遅","")))))</f>
        <v/>
      </c>
      <c r="R26" s="93" t="str">
        <f>IF($BB26="","",IF(R$6=$BJ26,"◆",IF(AND(R$6&gt;=$BF26,R$6&lt;=$BG26),IF(AND(R$6&gt;=$BD26,R$6&lt;=$BE26),"実","外"),IF(AND(R$6&gt;=$BD26,R$6&lt;=$BE26),"計",IF(AND(R$6&gt;=$BH26,R$6&lt;=$BI26),"遅","")))))</f>
        <v/>
      </c>
      <c r="S26" s="93" t="str">
        <f>IF($BB26="","",IF(S$6=$BJ26,"◆",IF(AND(S$6&gt;=$BF26,S$6&lt;=$BG26),IF(AND(S$6&gt;=$BD26,S$6&lt;=$BE26),"実","外"),IF(AND(S$6&gt;=$BD26,S$6&lt;=$BE26),"計",IF(AND(S$6&gt;=$BH26,S$6&lt;=$BI26),"遅","")))))</f>
        <v/>
      </c>
      <c r="T26" s="93" t="str">
        <f>IF($BB26="","",IF(T$6=$BJ26,"◆",IF(AND(T$6&gt;=$BF26,T$6&lt;=$BG26),IF(AND(T$6&gt;=$BD26,T$6&lt;=$BE26),"実","外"),IF(AND(T$6&gt;=$BD26,T$6&lt;=$BE26),"計",IF(AND(T$6&gt;=$BH26,T$6&lt;=$BI26),"遅","")))))</f>
        <v/>
      </c>
      <c r="U26" s="93" t="str">
        <f>IF($BB26="","",IF(U$6=$BJ26,"◆",IF(AND(U$6&gt;=$BF26,U$6&lt;=$BG26),IF(AND(U$6&gt;=$BD26,U$6&lt;=$BE26),"実","外"),IF(AND(U$6&gt;=$BD26,U$6&lt;=$BE26),"計",IF(AND(U$6&gt;=$BH26,U$6&lt;=$BI26),"遅","")))))</f>
        <v/>
      </c>
      <c r="V26" s="93" t="str">
        <f>IF($BB26="","",IF(V$6=$BJ26,"◆",IF(AND(V$6&gt;=$BF26,V$6&lt;=$BG26),IF(AND(V$6&gt;=$BD26,V$6&lt;=$BE26),"実","外"),IF(AND(V$6&gt;=$BD26,V$6&lt;=$BE26),"計",IF(AND(V$6&gt;=$BH26,V$6&lt;=$BI26),"遅","")))))</f>
        <v/>
      </c>
      <c r="W26" s="93" t="str">
        <f>IF($BB26="","",IF(W$6=$BJ26,"◆",IF(AND(W$6&gt;=$BF26,W$6&lt;=$BG26),IF(AND(W$6&gt;=$BD26,W$6&lt;=$BE26),"実","外"),IF(AND(W$6&gt;=$BD26,W$6&lt;=$BE26),"計",IF(AND(W$6&gt;=$BH26,W$6&lt;=$BI26),"遅","")))))</f>
        <v/>
      </c>
      <c r="X26" s="93" t="str">
        <f>IF($BB26="","",IF(X$6=$BJ26,"◆",IF(AND(X$6&gt;=$BF26,X$6&lt;=$BG26),IF(AND(X$6&gt;=$BD26,X$6&lt;=$BE26),"実","外"),IF(AND(X$6&gt;=$BD26,X$6&lt;=$BE26),"計",IF(AND(X$6&gt;=$BH26,X$6&lt;=$BI26),"遅","")))))</f>
        <v/>
      </c>
      <c r="Y26" s="93" t="str">
        <f>IF($BB26="","",IF(Y$6=$BJ26,"◆",IF(AND(Y$6&gt;=$BF26,Y$6&lt;=$BG26),IF(AND(Y$6&gt;=$BD26,Y$6&lt;=$BE26),"実","外"),IF(AND(Y$6&gt;=$BD26,Y$6&lt;=$BE26),"計",IF(AND(Y$6&gt;=$BH26,Y$6&lt;=$BI26),"遅","")))))</f>
        <v/>
      </c>
      <c r="Z26" s="93" t="str">
        <f>IF($BB26="","",IF(Z$6=$BJ26,"◆",IF(AND(Z$6&gt;=$BF26,Z$6&lt;=$BG26),IF(AND(Z$6&gt;=$BD26,Z$6&lt;=$BE26),"実","外"),IF(AND(Z$6&gt;=$BD26,Z$6&lt;=$BE26),"計",IF(AND(Z$6&gt;=$BH26,Z$6&lt;=$BI26),"遅","")))))</f>
        <v/>
      </c>
      <c r="AA26" s="93" t="str">
        <f>IF($BB26="","",IF(AA$6=$BJ26,"◆",IF(AND(AA$6&gt;=$BF26,AA$6&lt;=$BG26),IF(AND(AA$6&gt;=$BD26,AA$6&lt;=$BE26),"実","外"),IF(AND(AA$6&gt;=$BD26,AA$6&lt;=$BE26),"計",IF(AND(AA$6&gt;=$BH26,AA$6&lt;=$BI26),"遅","")))))</f>
        <v/>
      </c>
      <c r="AB26" s="93" t="str">
        <f>IF($BB26="","",IF(AB$6=$BJ26,"◆",IF(AND(AB$6&gt;=$BF26,AB$6&lt;=$BG26),IF(AND(AB$6&gt;=$BD26,AB$6&lt;=$BE26),"実","外"),IF(AND(AB$6&gt;=$BD26,AB$6&lt;=$BE26),"計",IF(AND(AB$6&gt;=$BH26,AB$6&lt;=$BI26),"遅","")))))</f>
        <v/>
      </c>
      <c r="AC26" s="93" t="str">
        <f>IF($BB26="","",IF(AC$6=$BJ26,"◆",IF(AND(AC$6&gt;=$BF26,AC$6&lt;=$BG26),IF(AND(AC$6&gt;=$BD26,AC$6&lt;=$BE26),"実","外"),IF(AND(AC$6&gt;=$BD26,AC$6&lt;=$BE26),"計",IF(AND(AC$6&gt;=$BH26,AC$6&lt;=$BI26),"遅","")))))</f>
        <v/>
      </c>
      <c r="AD26" s="93" t="str">
        <f>IF($BB26="","",IF(AD$6=$BJ26,"◆",IF(AND(AD$6&gt;=$BF26,AD$6&lt;=$BG26),IF(AND(AD$6&gt;=$BD26,AD$6&lt;=$BE26),"実","外"),IF(AND(AD$6&gt;=$BD26,AD$6&lt;=$BE26),"計",IF(AND(AD$6&gt;=$BH26,AD$6&lt;=$BI26),"遅","")))))</f>
        <v/>
      </c>
      <c r="AE26" s="93" t="str">
        <f>IF($BB26="","",IF(AE$6=$BJ26,"◆",IF(AND(AE$6&gt;=$BF26,AE$6&lt;=$BG26),IF(AND(AE$6&gt;=$BD26,AE$6&lt;=$BE26),"実","外"),IF(AND(AE$6&gt;=$BD26,AE$6&lt;=$BE26),"計",IF(AND(AE$6&gt;=$BH26,AE$6&lt;=$BI26),"遅","")))))</f>
        <v/>
      </c>
      <c r="AF26" s="93" t="str">
        <f>IF($BB26="","",IF(AF$6=$BJ26,"◆",IF(AND(AF$6&gt;=$BF26,AF$6&lt;=$BG26),IF(AND(AF$6&gt;=$BD26,AF$6&lt;=$BE26),"実","外"),IF(AND(AF$6&gt;=$BD26,AF$6&lt;=$BE26),"計",IF(AND(AF$6&gt;=$BH26,AF$6&lt;=$BI26),"遅","")))))</f>
        <v/>
      </c>
      <c r="AG26" s="93" t="str">
        <f>IF($BB26="","",IF(AG$6=$BJ26,"◆",IF(AND(AG$6&gt;=$BF26,AG$6&lt;=$BG26),IF(AND(AG$6&gt;=$BD26,AG$6&lt;=$BE26),"実","外"),IF(AND(AG$6&gt;=$BD26,AG$6&lt;=$BE26),"計",IF(AND(AG$6&gt;=$BH26,AG$6&lt;=$BI26),"遅","")))))</f>
        <v/>
      </c>
      <c r="AH26" s="93" t="str">
        <f>IF($BB26="","",IF(AH$6=$BJ26,"◆",IF(AND(AH$6&gt;=$BF26,AH$6&lt;=$BG26),IF(AND(AH$6&gt;=$BD26,AH$6&lt;=$BE26),"実","外"),IF(AND(AH$6&gt;=$BD26,AH$6&lt;=$BE26),"計",IF(AND(AH$6&gt;=$BH26,AH$6&lt;=$BI26),"遅","")))))</f>
        <v/>
      </c>
      <c r="AI26" s="93" t="str">
        <f>IF($BB26="","",IF(AI$6=$BJ26,"◆",IF(AND(AI$6&gt;=$BF26,AI$6&lt;=$BG26),IF(AND(AI$6&gt;=$BD26,AI$6&lt;=$BE26),"実","外"),IF(AND(AI$6&gt;=$BD26,AI$6&lt;=$BE26),"計",IF(AND(AI$6&gt;=$BH26,AI$6&lt;=$BI26),"遅","")))))</f>
        <v/>
      </c>
      <c r="AJ26" s="93" t="str">
        <f>IF($BB26="","",IF(AJ$6=$BJ26,"◆",IF(AND(AJ$6&gt;=$BF26,AJ$6&lt;=$BG26),IF(AND(AJ$6&gt;=$BD26,AJ$6&lt;=$BE26),"実","外"),IF(AND(AJ$6&gt;=$BD26,AJ$6&lt;=$BE26),"計",IF(AND(AJ$6&gt;=$BH26,AJ$6&lt;=$BI26),"遅","")))))</f>
        <v/>
      </c>
      <c r="AK26" s="93" t="str">
        <f>IF($BB26="","",IF(AK$6=$BJ26,"◆",IF(AND(AK$6&gt;=$BF26,AK$6&lt;=$BG26),IF(AND(AK$6&gt;=$BD26,AK$6&lt;=$BE26),"実","外"),IF(AND(AK$6&gt;=$BD26,AK$6&lt;=$BE26),"計",IF(AND(AK$6&gt;=$BH26,AK$6&lt;=$BI26),"遅","")))))</f>
        <v/>
      </c>
      <c r="AL26" s="93" t="str">
        <f>IF($BB26="","",IF(AL$6=$BJ26,"◆",IF(AND(AL$6&gt;=$BF26,AL$6&lt;=$BG26),IF(AND(AL$6&gt;=$BD26,AL$6&lt;=$BE26),"実","外"),IF(AND(AL$6&gt;=$BD26,AL$6&lt;=$BE26),"計",IF(AND(AL$6&gt;=$BH26,AL$6&lt;=$BI26),"遅","")))))</f>
        <v/>
      </c>
      <c r="AM26" s="93" t="str">
        <f>IF($BB26="","",IF(AM$6=$BJ26,"◆",IF(AND(AM$6&gt;=$BF26,AM$6&lt;=$BG26),IF(AND(AM$6&gt;=$BD26,AM$6&lt;=$BE26),"実","外"),IF(AND(AM$6&gt;=$BD26,AM$6&lt;=$BE26),"計",IF(AND(AM$6&gt;=$BH26,AM$6&lt;=$BI26),"遅","")))))</f>
        <v/>
      </c>
      <c r="AN26" s="93" t="str">
        <f>IF($BB26="","",IF(AN$6=$BJ26,"◆",IF(AND(AN$6&gt;=$BF26,AN$6&lt;=$BG26),IF(AND(AN$6&gt;=$BD26,AN$6&lt;=$BE26),"実","外"),IF(AND(AN$6&gt;=$BD26,AN$6&lt;=$BE26),"計",IF(AND(AN$6&gt;=$BH26,AN$6&lt;=$BI26),"遅","")))))</f>
        <v/>
      </c>
      <c r="AO26" s="93" t="str">
        <f>IF($BB26="","",IF(AO$6=$BJ26,"◆",IF(AND(AO$6&gt;=$BF26,AO$6&lt;=$BG26),IF(AND(AO$6&gt;=$BD26,AO$6&lt;=$BE26),"実","外"),IF(AND(AO$6&gt;=$BD26,AO$6&lt;=$BE26),"計",IF(AND(AO$6&gt;=$BH26,AO$6&lt;=$BI26),"遅","")))))</f>
        <v/>
      </c>
      <c r="AP26" s="93" t="str">
        <f>IF($BB26="","",IF(AP$6=$BJ26,"◆",IF(AND(AP$6&gt;=$BF26,AP$6&lt;=$BG26),IF(AND(AP$6&gt;=$BD26,AP$6&lt;=$BE26),"実","外"),IF(AND(AP$6&gt;=$BD26,AP$6&lt;=$BE26),"計",IF(AND(AP$6&gt;=$BH26,AP$6&lt;=$BI26),"遅","")))))</f>
        <v/>
      </c>
      <c r="AQ26" s="93" t="str">
        <f>IF($BB26="","",IF(AQ$6=$BJ26,"◆",IF(AND(AQ$6&gt;=$BF26,AQ$6&lt;=$BG26),IF(AND(AQ$6&gt;=$BD26,AQ$6&lt;=$BE26),"実","外"),IF(AND(AQ$6&gt;=$BD26,AQ$6&lt;=$BE26),"計",IF(AND(AQ$6&gt;=$BH26,AQ$6&lt;=$BI26),"遅","")))))</f>
        <v/>
      </c>
      <c r="AR26" s="93" t="str">
        <f>IF($BB26="","",IF(AR$6=$BJ26,"◆",IF(AND(AR$6&gt;=$BF26,AR$6&lt;=$BG26),IF(AND(AR$6&gt;=$BD26,AR$6&lt;=$BE26),"実","外"),IF(AND(AR$6&gt;=$BD26,AR$6&lt;=$BE26),"計",IF(AND(AR$6&gt;=$BH26,AR$6&lt;=$BI26),"遅","")))))</f>
        <v/>
      </c>
      <c r="AS26" s="93" t="str">
        <f>IF($BB26="","",IF(AS$6=$BJ26,"◆",IF(AND(AS$6&gt;=$BF26,AS$6&lt;=$BG26),IF(AND(AS$6&gt;=$BD26,AS$6&lt;=$BE26),"実","外"),IF(AND(AS$6&gt;=$BD26,AS$6&lt;=$BE26),"計",IF(AND(AS$6&gt;=$BH26,AS$6&lt;=$BI26),"遅","")))))</f>
        <v/>
      </c>
      <c r="AT26" s="93" t="str">
        <f>IF($BB26="","",IF(AT$6=$BJ26,"◆",IF(AND(AT$6&gt;=$BF26,AT$6&lt;=$BG26),IF(AND(AT$6&gt;=$BD26,AT$6&lt;=$BE26),"実","外"),IF(AND(AT$6&gt;=$BD26,AT$6&lt;=$BE26),"計",IF(AND(AT$6&gt;=$BH26,AT$6&lt;=$BI26),"遅","")))))</f>
        <v/>
      </c>
      <c r="AU26" s="93" t="str">
        <f>IF($BB26="","",IF(AU$6=$BJ26,"◆",IF(AND(AU$6&gt;=$BF26,AU$6&lt;=$BG26),IF(AND(AU$6&gt;=$BD26,AU$6&lt;=$BE26),"実","外"),IF(AND(AU$6&gt;=$BD26,AU$6&lt;=$BE26),"計",IF(AND(AU$6&gt;=$BH26,AU$6&lt;=$BI26),"遅","")))))</f>
        <v/>
      </c>
      <c r="AV26" s="93" t="str">
        <f>IF($BB26="","",IF(AV$6=$BJ26,"◆",IF(AND(AV$6&gt;=$BF26,AV$6&lt;=$BG26),IF(AND(AV$6&gt;=$BD26,AV$6&lt;=$BE26),"実","外"),IF(AND(AV$6&gt;=$BD26,AV$6&lt;=$BE26),"計",IF(AND(AV$6&gt;=$BH26,AV$6&lt;=$BI26),"遅","")))))</f>
        <v/>
      </c>
      <c r="AW26" s="93" t="str">
        <f>IF($BB26="","",IF(AW$6=$BJ26,"◆",IF(AND(AW$6&gt;=$BF26,AW$6&lt;=$BG26),IF(AND(AW$6&gt;=$BD26,AW$6&lt;=$BE26),"実","外"),IF(AND(AW$6&gt;=$BD26,AW$6&lt;=$BE26),"計",IF(AND(AW$6&gt;=$BH26,AW$6&lt;=$BI26),"遅","")))))</f>
        <v/>
      </c>
      <c r="AX26" s="93" t="str">
        <f>IF($BB26="","",IF(AX$6=$BJ26,"◆",IF(AND(AX$6&gt;=$BF26,AX$6&lt;=$BG26),IF(AND(AX$6&gt;=$BD26,AX$6&lt;=$BE26),"実","外"),IF(AND(AX$6&gt;=$BD26,AX$6&lt;=$BE26),"計",IF(AND(AX$6&gt;=$BH26,AX$6&lt;=$BI26),"遅","")))))</f>
        <v/>
      </c>
      <c r="AY26" s="93" t="str">
        <f>IF($BB26="","",IF(AY$6=$BJ26,"◆",IF(AND(AY$6&gt;=$BF26,AY$6&lt;=$BG26),IF(AND(AY$6&gt;=$BD26,AY$6&lt;=$BE26),"実","外"),IF(AND(AY$6&gt;=$BD26,AY$6&lt;=$BE26),"計",IF(AND(AY$6&gt;=$BH26,AY$6&lt;=$BI26),"遅","")))))</f>
        <v/>
      </c>
      <c r="AZ26" s="93" t="str">
        <f>IF($BB26="","",IF(AZ$6=$BJ26,"◆",IF(AND(AZ$6&gt;=$BF26,AZ$6&lt;=$BG26),IF(AND(AZ$6&gt;=$BD26,AZ$6&lt;=$BE26),"実","外"),IF(AND(AZ$6&gt;=$BD26,AZ$6&lt;=$BE26),"計",IF(AND(AZ$6&gt;=$BH26,AZ$6&lt;=$BI26),"遅","")))))</f>
        <v/>
      </c>
      <c r="BB26">
        <f>IF(19&gt;COUNTIF(tblSteps[日別対象],1),"",IFERROR(MATCH(19,tblSteps[日別順位],0),""))</f>
        <v>16</v>
      </c>
      <c r="BC26" t="str">
        <f>IF($BB26="","",INDEX(tblSteps[案件ID],$BB26)&amp;"")</f>
        <v>A0022</v>
      </c>
      <c r="BD26">
        <f>IF($BB26="","",INDEX(tblSteps[計開],$BB26))</f>
        <v>46289</v>
      </c>
      <c r="BE26">
        <f>IF($BB26="","",INDEX(tblSteps[計終],$BB26))</f>
        <v>46296</v>
      </c>
      <c r="BF26">
        <f>IF($BB26="","",INDEX(tblSteps[実開],$BB26))</f>
        <v>46289</v>
      </c>
      <c r="BG26">
        <f>IF($BB26="","",INDEX(tblSteps[実終],$BB26))</f>
        <v>46297</v>
      </c>
      <c r="BH26">
        <f>IF($BB26="","",INDEX(tblSteps[遅開],$BB26))</f>
        <v>1</v>
      </c>
      <c r="BI26">
        <f>IF($BB26="","",INDEX(tblSteps[遅終],$BB26))</f>
        <v>0</v>
      </c>
      <c r="BJ26">
        <f>IF($BB26="","",INDEX(tblSteps[納期値],$BB26))</f>
        <v>46346</v>
      </c>
    </row>
    <row r="27" ht="18" customHeight="1">
      <c r="A27" s="89" t="str">
        <f>IF($BB27="","",INDEX(tblSteps[工程ID],$BB27)&amp;"")</f>
        <v>S0017</v>
      </c>
      <c r="B27" s="88" t="str">
        <f>IF($BB27="","",IF($BC27=$BC26,"",$BC27&amp;" "&amp;INDEX(tblSteps[案件名],$BB27)))</f>
        <v/>
      </c>
      <c r="C27" s="88" t="str">
        <f>IF($BB27="","",INDEX(tblSteps[工程名],$BB27)&amp;"")</f>
        <v>制御盤製作</v>
      </c>
      <c r="D27" s="89" t="str">
        <f>IF($BB27="","",INDEX(tblSteps[担当],$BB27)&amp;"")</f>
        <v>協力会社B</v>
      </c>
      <c r="E27" s="89" t="str">
        <f>IF($BB27="","",INDEX(tblSteps[状態],$BB27)&amp;"")</f>
        <v>進行中</v>
      </c>
      <c r="F27" s="90">
        <f>IF($BB27="","",IF(ISNUMBER(INDEX(tblSteps[進捗率],$BB27)),INDEX(tblSteps[進捗率],$BB27),""))</f>
        <v>0.2</v>
      </c>
      <c r="G27" s="91">
        <f>IF($BB27="","",IF(ISNUMBER(INDEX(tblSteps[計画開始日],$BB27)),INDEX(tblSteps[計画開始日],$BB27),"未入力"))</f>
        <v>46297.0</v>
      </c>
      <c r="H27" s="91">
        <f>IF($BB27="","",IF(ISNUMBER(INDEX(tblSteps[計画終了日],$BB27)),INDEX(tblSteps[計画終了日],$BB27),"未入力"))</f>
        <v>46325.0</v>
      </c>
      <c r="I27" s="91">
        <f>IF($BB27="","",IF(ISNUMBER(INDEX(tblSteps[完了見込日],$BB27)),INDEX(tblSteps[完了見込日],$BB27),""))</f>
        <v>46332.0</v>
      </c>
      <c r="J27" s="92" t="str">
        <f>IF($BB27="","",INDEX(tblSteps[注意短],$BB27)&amp;"")</f>
        <v>見込+7日</v>
      </c>
      <c r="K27" s="93" t="str">
        <f>IF($BB27="","",IF(K$6=$BJ27,"◆",IF(AND(K$6&gt;=$BF27,K$6&lt;=$BG27),IF(AND(K$6&gt;=$BD27,K$6&lt;=$BE27),"実","外"),IF(AND(K$6&gt;=$BD27,K$6&lt;=$BE27),"計",IF(AND(K$6&gt;=$BH27,K$6&lt;=$BI27),"遅","")))))</f>
        <v/>
      </c>
      <c r="L27" s="93" t="str">
        <f>IF($BB27="","",IF(L$6=$BJ27,"◆",IF(AND(L$6&gt;=$BF27,L$6&lt;=$BG27),IF(AND(L$6&gt;=$BD27,L$6&lt;=$BE27),"実","外"),IF(AND(L$6&gt;=$BD27,L$6&lt;=$BE27),"計",IF(AND(L$6&gt;=$BH27,L$6&lt;=$BI27),"遅","")))))</f>
        <v/>
      </c>
      <c r="M27" s="93" t="str">
        <f>IF($BB27="","",IF(M$6=$BJ27,"◆",IF(AND(M$6&gt;=$BF27,M$6&lt;=$BG27),IF(AND(M$6&gt;=$BD27,M$6&lt;=$BE27),"実","外"),IF(AND(M$6&gt;=$BD27,M$6&lt;=$BE27),"計",IF(AND(M$6&gt;=$BH27,M$6&lt;=$BI27),"遅","")))))</f>
        <v/>
      </c>
      <c r="N27" s="93" t="str">
        <f>IF($BB27="","",IF(N$6=$BJ27,"◆",IF(AND(N$6&gt;=$BF27,N$6&lt;=$BG27),IF(AND(N$6&gt;=$BD27,N$6&lt;=$BE27),"実","外"),IF(AND(N$6&gt;=$BD27,N$6&lt;=$BE27),"計",IF(AND(N$6&gt;=$BH27,N$6&lt;=$BI27),"遅","")))))</f>
        <v/>
      </c>
      <c r="O27" s="93" t="str">
        <f>IF($BB27="","",IF(O$6=$BJ27,"◆",IF(AND(O$6&gt;=$BF27,O$6&lt;=$BG27),IF(AND(O$6&gt;=$BD27,O$6&lt;=$BE27),"実","外"),IF(AND(O$6&gt;=$BD27,O$6&lt;=$BE27),"計",IF(AND(O$6&gt;=$BH27,O$6&lt;=$BI27),"遅","")))))</f>
        <v>実</v>
      </c>
      <c r="P27" s="93" t="str">
        <f>IF($BB27="","",IF(P$6=$BJ27,"◆",IF(AND(P$6&gt;=$BF27,P$6&lt;=$BG27),IF(AND(P$6&gt;=$BD27,P$6&lt;=$BE27),"実","外"),IF(AND(P$6&gt;=$BD27,P$6&lt;=$BE27),"計",IF(AND(P$6&gt;=$BH27,P$6&lt;=$BI27),"遅","")))))</f>
        <v>実</v>
      </c>
      <c r="Q27" s="93" t="str">
        <f>IF($BB27="","",IF(Q$6=$BJ27,"◆",IF(AND(Q$6&gt;=$BF27,Q$6&lt;=$BG27),IF(AND(Q$6&gt;=$BD27,Q$6&lt;=$BE27),"実","外"),IF(AND(Q$6&gt;=$BD27,Q$6&lt;=$BE27),"計",IF(AND(Q$6&gt;=$BH27,Q$6&lt;=$BI27),"遅","")))))</f>
        <v>実</v>
      </c>
      <c r="R27" s="93" t="str">
        <f>IF($BB27="","",IF(R$6=$BJ27,"◆",IF(AND(R$6&gt;=$BF27,R$6&lt;=$BG27),IF(AND(R$6&gt;=$BD27,R$6&lt;=$BE27),"実","外"),IF(AND(R$6&gt;=$BD27,R$6&lt;=$BE27),"計",IF(AND(R$6&gt;=$BH27,R$6&lt;=$BI27),"遅","")))))</f>
        <v>実</v>
      </c>
      <c r="S27" s="93" t="str">
        <f>IF($BB27="","",IF(S$6=$BJ27,"◆",IF(AND(S$6&gt;=$BF27,S$6&lt;=$BG27),IF(AND(S$6&gt;=$BD27,S$6&lt;=$BE27),"実","外"),IF(AND(S$6&gt;=$BD27,S$6&lt;=$BE27),"計",IF(AND(S$6&gt;=$BH27,S$6&lt;=$BI27),"遅","")))))</f>
        <v>計</v>
      </c>
      <c r="T27" s="93" t="str">
        <f>IF($BB27="","",IF(T$6=$BJ27,"◆",IF(AND(T$6&gt;=$BF27,T$6&lt;=$BG27),IF(AND(T$6&gt;=$BD27,T$6&lt;=$BE27),"実","外"),IF(AND(T$6&gt;=$BD27,T$6&lt;=$BE27),"計",IF(AND(T$6&gt;=$BH27,T$6&lt;=$BI27),"遅","")))))</f>
        <v>計</v>
      </c>
      <c r="U27" s="93" t="str">
        <f>IF($BB27="","",IF(U$6=$BJ27,"◆",IF(AND(U$6&gt;=$BF27,U$6&lt;=$BG27),IF(AND(U$6&gt;=$BD27,U$6&lt;=$BE27),"実","外"),IF(AND(U$6&gt;=$BD27,U$6&lt;=$BE27),"計",IF(AND(U$6&gt;=$BH27,U$6&lt;=$BI27),"遅","")))))</f>
        <v>計</v>
      </c>
      <c r="V27" s="93" t="str">
        <f>IF($BB27="","",IF(V$6=$BJ27,"◆",IF(AND(V$6&gt;=$BF27,V$6&lt;=$BG27),IF(AND(V$6&gt;=$BD27,V$6&lt;=$BE27),"実","外"),IF(AND(V$6&gt;=$BD27,V$6&lt;=$BE27),"計",IF(AND(V$6&gt;=$BH27,V$6&lt;=$BI27),"遅","")))))</f>
        <v>計</v>
      </c>
      <c r="W27" s="93" t="str">
        <f>IF($BB27="","",IF(W$6=$BJ27,"◆",IF(AND(W$6&gt;=$BF27,W$6&lt;=$BG27),IF(AND(W$6&gt;=$BD27,W$6&lt;=$BE27),"実","外"),IF(AND(W$6&gt;=$BD27,W$6&lt;=$BE27),"計",IF(AND(W$6&gt;=$BH27,W$6&lt;=$BI27),"遅","")))))</f>
        <v>計</v>
      </c>
      <c r="X27" s="93" t="str">
        <f>IF($BB27="","",IF(X$6=$BJ27,"◆",IF(AND(X$6&gt;=$BF27,X$6&lt;=$BG27),IF(AND(X$6&gt;=$BD27,X$6&lt;=$BE27),"実","外"),IF(AND(X$6&gt;=$BD27,X$6&lt;=$BE27),"計",IF(AND(X$6&gt;=$BH27,X$6&lt;=$BI27),"遅","")))))</f>
        <v>計</v>
      </c>
      <c r="Y27" s="93" t="str">
        <f>IF($BB27="","",IF(Y$6=$BJ27,"◆",IF(AND(Y$6&gt;=$BF27,Y$6&lt;=$BG27),IF(AND(Y$6&gt;=$BD27,Y$6&lt;=$BE27),"実","外"),IF(AND(Y$6&gt;=$BD27,Y$6&lt;=$BE27),"計",IF(AND(Y$6&gt;=$BH27,Y$6&lt;=$BI27),"遅","")))))</f>
        <v>計</v>
      </c>
      <c r="Z27" s="93" t="str">
        <f>IF($BB27="","",IF(Z$6=$BJ27,"◆",IF(AND(Z$6&gt;=$BF27,Z$6&lt;=$BG27),IF(AND(Z$6&gt;=$BD27,Z$6&lt;=$BE27),"実","外"),IF(AND(Z$6&gt;=$BD27,Z$6&lt;=$BE27),"計",IF(AND(Z$6&gt;=$BH27,Z$6&lt;=$BI27),"遅","")))))</f>
        <v>計</v>
      </c>
      <c r="AA27" s="93" t="str">
        <f>IF($BB27="","",IF(AA$6=$BJ27,"◆",IF(AND(AA$6&gt;=$BF27,AA$6&lt;=$BG27),IF(AND(AA$6&gt;=$BD27,AA$6&lt;=$BE27),"実","外"),IF(AND(AA$6&gt;=$BD27,AA$6&lt;=$BE27),"計",IF(AND(AA$6&gt;=$BH27,AA$6&lt;=$BI27),"遅","")))))</f>
        <v>計</v>
      </c>
      <c r="AB27" s="93" t="str">
        <f>IF($BB27="","",IF(AB$6=$BJ27,"◆",IF(AND(AB$6&gt;=$BF27,AB$6&lt;=$BG27),IF(AND(AB$6&gt;=$BD27,AB$6&lt;=$BE27),"実","外"),IF(AND(AB$6&gt;=$BD27,AB$6&lt;=$BE27),"計",IF(AND(AB$6&gt;=$BH27,AB$6&lt;=$BI27),"遅","")))))</f>
        <v>計</v>
      </c>
      <c r="AC27" s="93" t="str">
        <f>IF($BB27="","",IF(AC$6=$BJ27,"◆",IF(AND(AC$6&gt;=$BF27,AC$6&lt;=$BG27),IF(AND(AC$6&gt;=$BD27,AC$6&lt;=$BE27),"実","外"),IF(AND(AC$6&gt;=$BD27,AC$6&lt;=$BE27),"計",IF(AND(AC$6&gt;=$BH27,AC$6&lt;=$BI27),"遅","")))))</f>
        <v>計</v>
      </c>
      <c r="AD27" s="93" t="str">
        <f>IF($BB27="","",IF(AD$6=$BJ27,"◆",IF(AND(AD$6&gt;=$BF27,AD$6&lt;=$BG27),IF(AND(AD$6&gt;=$BD27,AD$6&lt;=$BE27),"実","外"),IF(AND(AD$6&gt;=$BD27,AD$6&lt;=$BE27),"計",IF(AND(AD$6&gt;=$BH27,AD$6&lt;=$BI27),"遅","")))))</f>
        <v>計</v>
      </c>
      <c r="AE27" s="93" t="str">
        <f>IF($BB27="","",IF(AE$6=$BJ27,"◆",IF(AND(AE$6&gt;=$BF27,AE$6&lt;=$BG27),IF(AND(AE$6&gt;=$BD27,AE$6&lt;=$BE27),"実","外"),IF(AND(AE$6&gt;=$BD27,AE$6&lt;=$BE27),"計",IF(AND(AE$6&gt;=$BH27,AE$6&lt;=$BI27),"遅","")))))</f>
        <v>計</v>
      </c>
      <c r="AF27" s="93" t="str">
        <f>IF($BB27="","",IF(AF$6=$BJ27,"◆",IF(AND(AF$6&gt;=$BF27,AF$6&lt;=$BG27),IF(AND(AF$6&gt;=$BD27,AF$6&lt;=$BE27),"実","外"),IF(AND(AF$6&gt;=$BD27,AF$6&lt;=$BE27),"計",IF(AND(AF$6&gt;=$BH27,AF$6&lt;=$BI27),"遅","")))))</f>
        <v>計</v>
      </c>
      <c r="AG27" s="93" t="str">
        <f>IF($BB27="","",IF(AG$6=$BJ27,"◆",IF(AND(AG$6&gt;=$BF27,AG$6&lt;=$BG27),IF(AND(AG$6&gt;=$BD27,AG$6&lt;=$BE27),"実","外"),IF(AND(AG$6&gt;=$BD27,AG$6&lt;=$BE27),"計",IF(AND(AG$6&gt;=$BH27,AG$6&lt;=$BI27),"遅","")))))</f>
        <v>計</v>
      </c>
      <c r="AH27" s="93" t="str">
        <f>IF($BB27="","",IF(AH$6=$BJ27,"◆",IF(AND(AH$6&gt;=$BF27,AH$6&lt;=$BG27),IF(AND(AH$6&gt;=$BD27,AH$6&lt;=$BE27),"実","外"),IF(AND(AH$6&gt;=$BD27,AH$6&lt;=$BE27),"計",IF(AND(AH$6&gt;=$BH27,AH$6&lt;=$BI27),"遅","")))))</f>
        <v>計</v>
      </c>
      <c r="AI27" s="93" t="str">
        <f>IF($BB27="","",IF(AI$6=$BJ27,"◆",IF(AND(AI$6&gt;=$BF27,AI$6&lt;=$BG27),IF(AND(AI$6&gt;=$BD27,AI$6&lt;=$BE27),"実","外"),IF(AND(AI$6&gt;=$BD27,AI$6&lt;=$BE27),"計",IF(AND(AI$6&gt;=$BH27,AI$6&lt;=$BI27),"遅","")))))</f>
        <v>計</v>
      </c>
      <c r="AJ27" s="93" t="str">
        <f>IF($BB27="","",IF(AJ$6=$BJ27,"◆",IF(AND(AJ$6&gt;=$BF27,AJ$6&lt;=$BG27),IF(AND(AJ$6&gt;=$BD27,AJ$6&lt;=$BE27),"実","外"),IF(AND(AJ$6&gt;=$BD27,AJ$6&lt;=$BE27),"計",IF(AND(AJ$6&gt;=$BH27,AJ$6&lt;=$BI27),"遅","")))))</f>
        <v>計</v>
      </c>
      <c r="AK27" s="93" t="str">
        <f>IF($BB27="","",IF(AK$6=$BJ27,"◆",IF(AND(AK$6&gt;=$BF27,AK$6&lt;=$BG27),IF(AND(AK$6&gt;=$BD27,AK$6&lt;=$BE27),"実","外"),IF(AND(AK$6&gt;=$BD27,AK$6&lt;=$BE27),"計",IF(AND(AK$6&gt;=$BH27,AK$6&lt;=$BI27),"遅","")))))</f>
        <v>計</v>
      </c>
      <c r="AL27" s="93" t="str">
        <f>IF($BB27="","",IF(AL$6=$BJ27,"◆",IF(AND(AL$6&gt;=$BF27,AL$6&lt;=$BG27),IF(AND(AL$6&gt;=$BD27,AL$6&lt;=$BE27),"実","外"),IF(AND(AL$6&gt;=$BD27,AL$6&lt;=$BE27),"計",IF(AND(AL$6&gt;=$BH27,AL$6&lt;=$BI27),"遅","")))))</f>
        <v>計</v>
      </c>
      <c r="AM27" s="93" t="str">
        <f>IF($BB27="","",IF(AM$6=$BJ27,"◆",IF(AND(AM$6&gt;=$BF27,AM$6&lt;=$BG27),IF(AND(AM$6&gt;=$BD27,AM$6&lt;=$BE27),"実","外"),IF(AND(AM$6&gt;=$BD27,AM$6&lt;=$BE27),"計",IF(AND(AM$6&gt;=$BH27,AM$6&lt;=$BI27),"遅","")))))</f>
        <v>計</v>
      </c>
      <c r="AN27" s="93" t="str">
        <f>IF($BB27="","",IF(AN$6=$BJ27,"◆",IF(AND(AN$6&gt;=$BF27,AN$6&lt;=$BG27),IF(AND(AN$6&gt;=$BD27,AN$6&lt;=$BE27),"実","外"),IF(AND(AN$6&gt;=$BD27,AN$6&lt;=$BE27),"計",IF(AND(AN$6&gt;=$BH27,AN$6&lt;=$BI27),"遅","")))))</f>
        <v>計</v>
      </c>
      <c r="AO27" s="93" t="str">
        <f>IF($BB27="","",IF(AO$6=$BJ27,"◆",IF(AND(AO$6&gt;=$BF27,AO$6&lt;=$BG27),IF(AND(AO$6&gt;=$BD27,AO$6&lt;=$BE27),"実","外"),IF(AND(AO$6&gt;=$BD27,AO$6&lt;=$BE27),"計",IF(AND(AO$6&gt;=$BH27,AO$6&lt;=$BI27),"遅","")))))</f>
        <v>計</v>
      </c>
      <c r="AP27" s="93" t="str">
        <f>IF($BB27="","",IF(AP$6=$BJ27,"◆",IF(AND(AP$6&gt;=$BF27,AP$6&lt;=$BG27),IF(AND(AP$6&gt;=$BD27,AP$6&lt;=$BE27),"実","外"),IF(AND(AP$6&gt;=$BD27,AP$6&lt;=$BE27),"計",IF(AND(AP$6&gt;=$BH27,AP$6&lt;=$BI27),"遅","")))))</f>
        <v>計</v>
      </c>
      <c r="AQ27" s="93" t="str">
        <f>IF($BB27="","",IF(AQ$6=$BJ27,"◆",IF(AND(AQ$6&gt;=$BF27,AQ$6&lt;=$BG27),IF(AND(AQ$6&gt;=$BD27,AQ$6&lt;=$BE27),"実","外"),IF(AND(AQ$6&gt;=$BD27,AQ$6&lt;=$BE27),"計",IF(AND(AQ$6&gt;=$BH27,AQ$6&lt;=$BI27),"遅","")))))</f>
        <v>計</v>
      </c>
      <c r="AR27" s="93" t="str">
        <f>IF($BB27="","",IF(AR$6=$BJ27,"◆",IF(AND(AR$6&gt;=$BF27,AR$6&lt;=$BG27),IF(AND(AR$6&gt;=$BD27,AR$6&lt;=$BE27),"実","外"),IF(AND(AR$6&gt;=$BD27,AR$6&lt;=$BE27),"計",IF(AND(AR$6&gt;=$BH27,AR$6&lt;=$BI27),"遅","")))))</f>
        <v>遅</v>
      </c>
      <c r="AS27" s="93" t="str">
        <f>IF($BB27="","",IF(AS$6=$BJ27,"◆",IF(AND(AS$6&gt;=$BF27,AS$6&lt;=$BG27),IF(AND(AS$6&gt;=$BD27,AS$6&lt;=$BE27),"実","外"),IF(AND(AS$6&gt;=$BD27,AS$6&lt;=$BE27),"計",IF(AND(AS$6&gt;=$BH27,AS$6&lt;=$BI27),"遅","")))))</f>
        <v>遅</v>
      </c>
      <c r="AT27" s="93" t="str">
        <f>IF($BB27="","",IF(AT$6=$BJ27,"◆",IF(AND(AT$6&gt;=$BF27,AT$6&lt;=$BG27),IF(AND(AT$6&gt;=$BD27,AT$6&lt;=$BE27),"実","外"),IF(AND(AT$6&gt;=$BD27,AT$6&lt;=$BE27),"計",IF(AND(AT$6&gt;=$BH27,AT$6&lt;=$BI27),"遅","")))))</f>
        <v>遅</v>
      </c>
      <c r="AU27" s="93" t="str">
        <f>IF($BB27="","",IF(AU$6=$BJ27,"◆",IF(AND(AU$6&gt;=$BF27,AU$6&lt;=$BG27),IF(AND(AU$6&gt;=$BD27,AU$6&lt;=$BE27),"実","外"),IF(AND(AU$6&gt;=$BD27,AU$6&lt;=$BE27),"計",IF(AND(AU$6&gt;=$BH27,AU$6&lt;=$BI27),"遅","")))))</f>
        <v>遅</v>
      </c>
      <c r="AV27" s="93" t="str">
        <f>IF($BB27="","",IF(AV$6=$BJ27,"◆",IF(AND(AV$6&gt;=$BF27,AV$6&lt;=$BG27),IF(AND(AV$6&gt;=$BD27,AV$6&lt;=$BE27),"実","外"),IF(AND(AV$6&gt;=$BD27,AV$6&lt;=$BE27),"計",IF(AND(AV$6&gt;=$BH27,AV$6&lt;=$BI27),"遅","")))))</f>
        <v>遅</v>
      </c>
      <c r="AW27" s="93" t="str">
        <f>IF($BB27="","",IF(AW$6=$BJ27,"◆",IF(AND(AW$6&gt;=$BF27,AW$6&lt;=$BG27),IF(AND(AW$6&gt;=$BD27,AW$6&lt;=$BE27),"実","外"),IF(AND(AW$6&gt;=$BD27,AW$6&lt;=$BE27),"計",IF(AND(AW$6&gt;=$BH27,AW$6&lt;=$BI27),"遅","")))))</f>
        <v>遅</v>
      </c>
      <c r="AX27" s="93" t="str">
        <f>IF($BB27="","",IF(AX$6=$BJ27,"◆",IF(AND(AX$6&gt;=$BF27,AX$6&lt;=$BG27),IF(AND(AX$6&gt;=$BD27,AX$6&lt;=$BE27),"実","外"),IF(AND(AX$6&gt;=$BD27,AX$6&lt;=$BE27),"計",IF(AND(AX$6&gt;=$BH27,AX$6&lt;=$BI27),"遅","")))))</f>
        <v>遅</v>
      </c>
      <c r="AY27" s="93" t="str">
        <f>IF($BB27="","",IF(AY$6=$BJ27,"◆",IF(AND(AY$6&gt;=$BF27,AY$6&lt;=$BG27),IF(AND(AY$6&gt;=$BD27,AY$6&lt;=$BE27),"実","外"),IF(AND(AY$6&gt;=$BD27,AY$6&lt;=$BE27),"計",IF(AND(AY$6&gt;=$BH27,AY$6&lt;=$BI27),"遅","")))))</f>
        <v/>
      </c>
      <c r="AZ27" s="93" t="str">
        <f>IF($BB27="","",IF(AZ$6=$BJ27,"◆",IF(AND(AZ$6&gt;=$BF27,AZ$6&lt;=$BG27),IF(AND(AZ$6&gt;=$BD27,AZ$6&lt;=$BE27),"実","外"),IF(AND(AZ$6&gt;=$BD27,AZ$6&lt;=$BE27),"計",IF(AND(AZ$6&gt;=$BH27,AZ$6&lt;=$BI27),"遅","")))))</f>
        <v/>
      </c>
      <c r="BB27">
        <f>IF(20&gt;COUNTIF(tblSteps[日別対象],1),"",IFERROR(MATCH(20,tblSteps[日別順位],0),""))</f>
        <v>17</v>
      </c>
      <c r="BC27" t="str">
        <f>IF($BB27="","",INDEX(tblSteps[案件ID],$BB27)&amp;"")</f>
        <v>A0022</v>
      </c>
      <c r="BD27">
        <f>IF($BB27="","",INDEX(tblSteps[計開],$BB27))</f>
        <v>46297</v>
      </c>
      <c r="BE27">
        <f>IF($BB27="","",INDEX(tblSteps[計終],$BB27))</f>
        <v>46325</v>
      </c>
      <c r="BF27">
        <f>IF($BB27="","",INDEX(tblSteps[実開],$BB27))</f>
        <v>46297</v>
      </c>
      <c r="BG27">
        <f>IF($BB27="","",INDEX(tblSteps[実終],$BB27))</f>
        <v>46300</v>
      </c>
      <c r="BH27">
        <f>IF($BB27="","",INDEX(tblSteps[遅開],$BB27))</f>
        <v>46326</v>
      </c>
      <c r="BI27">
        <f>IF($BB27="","",INDEX(tblSteps[遅終],$BB27))</f>
        <v>46332</v>
      </c>
      <c r="BJ27">
        <f>IF($BB27="","",INDEX(tblSteps[納期値],$BB27))</f>
        <v>46346</v>
      </c>
    </row>
    <row r="28" ht="18" customHeight="1">
      <c r="A28" s="89" t="str">
        <f>IF($BB28="","",INDEX(tblSteps[工程ID],$BB28)&amp;"")</f>
        <v>S0018</v>
      </c>
      <c r="B28" s="88" t="str">
        <f>IF($BB28="","",IF($BC28=$BC27,"",$BC28&amp;" "&amp;INDEX(tblSteps[案件名],$BB28)))</f>
        <v/>
      </c>
      <c r="C28" s="88" t="str">
        <f>IF($BB28="","",INDEX(tblSteps[工程名],$BB28)&amp;"")</f>
        <v>現地打合せ</v>
      </c>
      <c r="D28" s="89" t="str">
        <f>IF($BB28="","",INDEX(tblSteps[担当],$BB28)&amp;"")</f>
        <v>田中</v>
      </c>
      <c r="E28" s="89" t="str">
        <f>IF($BB28="","",INDEX(tblSteps[状態],$BB28)&amp;"")</f>
        <v>未着手</v>
      </c>
      <c r="F28" s="90">
        <f>IF($BB28="","",IF(ISNUMBER(INDEX(tblSteps[進捗率],$BB28)),INDEX(tblSteps[進捗率],$BB28),""))</f>
        <v>0</v>
      </c>
      <c r="G28" s="91">
        <f>IF($BB28="","",IF(ISNUMBER(INDEX(tblSteps[計画開始日],$BB28)),INDEX(tblSteps[計画開始日],$BB28),"未入力"))</f>
        <v>46300.0</v>
      </c>
      <c r="H28" s="91">
        <f>IF($BB28="","",IF(ISNUMBER(INDEX(tblSteps[計画終了日],$BB28)),INDEX(tblSteps[計画終了日],$BB28),"未入力"))</f>
        <v>46300.0</v>
      </c>
      <c r="I28" s="91" t="str">
        <f>IF($BB28="","",IF(ISNUMBER(INDEX(tblSteps[完了見込日],$BB28)),INDEX(tblSteps[完了見込日],$BB28),""))</f>
        <v/>
      </c>
      <c r="J28" s="92" t="str">
        <f>IF($BB28="","",INDEX(tblSteps[注意短],$BB28)&amp;"")</f>
        <v/>
      </c>
      <c r="K28" s="93" t="str">
        <f>IF($BB28="","",IF(K$6=$BJ28,"◆",IF(AND(K$6&gt;=$BF28,K$6&lt;=$BG28),IF(AND(K$6&gt;=$BD28,K$6&lt;=$BE28),"実","外"),IF(AND(K$6&gt;=$BD28,K$6&lt;=$BE28),"計",IF(AND(K$6&gt;=$BH28,K$6&lt;=$BI28),"遅","")))))</f>
        <v/>
      </c>
      <c r="L28" s="93" t="str">
        <f>IF($BB28="","",IF(L$6=$BJ28,"◆",IF(AND(L$6&gt;=$BF28,L$6&lt;=$BG28),IF(AND(L$6&gt;=$BD28,L$6&lt;=$BE28),"実","外"),IF(AND(L$6&gt;=$BD28,L$6&lt;=$BE28),"計",IF(AND(L$6&gt;=$BH28,L$6&lt;=$BI28),"遅","")))))</f>
        <v/>
      </c>
      <c r="M28" s="93" t="str">
        <f>IF($BB28="","",IF(M$6=$BJ28,"◆",IF(AND(M$6&gt;=$BF28,M$6&lt;=$BG28),IF(AND(M$6&gt;=$BD28,M$6&lt;=$BE28),"実","外"),IF(AND(M$6&gt;=$BD28,M$6&lt;=$BE28),"計",IF(AND(M$6&gt;=$BH28,M$6&lt;=$BI28),"遅","")))))</f>
        <v/>
      </c>
      <c r="N28" s="93" t="str">
        <f>IF($BB28="","",IF(N$6=$BJ28,"◆",IF(AND(N$6&gt;=$BF28,N$6&lt;=$BG28),IF(AND(N$6&gt;=$BD28,N$6&lt;=$BE28),"実","外"),IF(AND(N$6&gt;=$BD28,N$6&lt;=$BE28),"計",IF(AND(N$6&gt;=$BH28,N$6&lt;=$BI28),"遅","")))))</f>
        <v/>
      </c>
      <c r="O28" s="93" t="str">
        <f>IF($BB28="","",IF(O$6=$BJ28,"◆",IF(AND(O$6&gt;=$BF28,O$6&lt;=$BG28),IF(AND(O$6&gt;=$BD28,O$6&lt;=$BE28),"実","外"),IF(AND(O$6&gt;=$BD28,O$6&lt;=$BE28),"計",IF(AND(O$6&gt;=$BH28,O$6&lt;=$BI28),"遅","")))))</f>
        <v/>
      </c>
      <c r="P28" s="93" t="str">
        <f>IF($BB28="","",IF(P$6=$BJ28,"◆",IF(AND(P$6&gt;=$BF28,P$6&lt;=$BG28),IF(AND(P$6&gt;=$BD28,P$6&lt;=$BE28),"実","外"),IF(AND(P$6&gt;=$BD28,P$6&lt;=$BE28),"計",IF(AND(P$6&gt;=$BH28,P$6&lt;=$BI28),"遅","")))))</f>
        <v/>
      </c>
      <c r="Q28" s="93" t="str">
        <f>IF($BB28="","",IF(Q$6=$BJ28,"◆",IF(AND(Q$6&gt;=$BF28,Q$6&lt;=$BG28),IF(AND(Q$6&gt;=$BD28,Q$6&lt;=$BE28),"実","外"),IF(AND(Q$6&gt;=$BD28,Q$6&lt;=$BE28),"計",IF(AND(Q$6&gt;=$BH28,Q$6&lt;=$BI28),"遅","")))))</f>
        <v/>
      </c>
      <c r="R28" s="93" t="str">
        <f>IF($BB28="","",IF(R$6=$BJ28,"◆",IF(AND(R$6&gt;=$BF28,R$6&lt;=$BG28),IF(AND(R$6&gt;=$BD28,R$6&lt;=$BE28),"実","外"),IF(AND(R$6&gt;=$BD28,R$6&lt;=$BE28),"計",IF(AND(R$6&gt;=$BH28,R$6&lt;=$BI28),"遅","")))))</f>
        <v>計</v>
      </c>
      <c r="S28" s="93" t="str">
        <f>IF($BB28="","",IF(S$6=$BJ28,"◆",IF(AND(S$6&gt;=$BF28,S$6&lt;=$BG28),IF(AND(S$6&gt;=$BD28,S$6&lt;=$BE28),"実","外"),IF(AND(S$6&gt;=$BD28,S$6&lt;=$BE28),"計",IF(AND(S$6&gt;=$BH28,S$6&lt;=$BI28),"遅","")))))</f>
        <v/>
      </c>
      <c r="T28" s="93" t="str">
        <f>IF($BB28="","",IF(T$6=$BJ28,"◆",IF(AND(T$6&gt;=$BF28,T$6&lt;=$BG28),IF(AND(T$6&gt;=$BD28,T$6&lt;=$BE28),"実","外"),IF(AND(T$6&gt;=$BD28,T$6&lt;=$BE28),"計",IF(AND(T$6&gt;=$BH28,T$6&lt;=$BI28),"遅","")))))</f>
        <v/>
      </c>
      <c r="U28" s="93" t="str">
        <f>IF($BB28="","",IF(U$6=$BJ28,"◆",IF(AND(U$6&gt;=$BF28,U$6&lt;=$BG28),IF(AND(U$6&gt;=$BD28,U$6&lt;=$BE28),"実","外"),IF(AND(U$6&gt;=$BD28,U$6&lt;=$BE28),"計",IF(AND(U$6&gt;=$BH28,U$6&lt;=$BI28),"遅","")))))</f>
        <v/>
      </c>
      <c r="V28" s="93" t="str">
        <f>IF($BB28="","",IF(V$6=$BJ28,"◆",IF(AND(V$6&gt;=$BF28,V$6&lt;=$BG28),IF(AND(V$6&gt;=$BD28,V$6&lt;=$BE28),"実","外"),IF(AND(V$6&gt;=$BD28,V$6&lt;=$BE28),"計",IF(AND(V$6&gt;=$BH28,V$6&lt;=$BI28),"遅","")))))</f>
        <v/>
      </c>
      <c r="W28" s="93" t="str">
        <f>IF($BB28="","",IF(W$6=$BJ28,"◆",IF(AND(W$6&gt;=$BF28,W$6&lt;=$BG28),IF(AND(W$6&gt;=$BD28,W$6&lt;=$BE28),"実","外"),IF(AND(W$6&gt;=$BD28,W$6&lt;=$BE28),"計",IF(AND(W$6&gt;=$BH28,W$6&lt;=$BI28),"遅","")))))</f>
        <v/>
      </c>
      <c r="X28" s="93" t="str">
        <f>IF($BB28="","",IF(X$6=$BJ28,"◆",IF(AND(X$6&gt;=$BF28,X$6&lt;=$BG28),IF(AND(X$6&gt;=$BD28,X$6&lt;=$BE28),"実","外"),IF(AND(X$6&gt;=$BD28,X$6&lt;=$BE28),"計",IF(AND(X$6&gt;=$BH28,X$6&lt;=$BI28),"遅","")))))</f>
        <v/>
      </c>
      <c r="Y28" s="93" t="str">
        <f>IF($BB28="","",IF(Y$6=$BJ28,"◆",IF(AND(Y$6&gt;=$BF28,Y$6&lt;=$BG28),IF(AND(Y$6&gt;=$BD28,Y$6&lt;=$BE28),"実","外"),IF(AND(Y$6&gt;=$BD28,Y$6&lt;=$BE28),"計",IF(AND(Y$6&gt;=$BH28,Y$6&lt;=$BI28),"遅","")))))</f>
        <v/>
      </c>
      <c r="Z28" s="93" t="str">
        <f>IF($BB28="","",IF(Z$6=$BJ28,"◆",IF(AND(Z$6&gt;=$BF28,Z$6&lt;=$BG28),IF(AND(Z$6&gt;=$BD28,Z$6&lt;=$BE28),"実","外"),IF(AND(Z$6&gt;=$BD28,Z$6&lt;=$BE28),"計",IF(AND(Z$6&gt;=$BH28,Z$6&lt;=$BI28),"遅","")))))</f>
        <v/>
      </c>
      <c r="AA28" s="93" t="str">
        <f>IF($BB28="","",IF(AA$6=$BJ28,"◆",IF(AND(AA$6&gt;=$BF28,AA$6&lt;=$BG28),IF(AND(AA$6&gt;=$BD28,AA$6&lt;=$BE28),"実","外"),IF(AND(AA$6&gt;=$BD28,AA$6&lt;=$BE28),"計",IF(AND(AA$6&gt;=$BH28,AA$6&lt;=$BI28),"遅","")))))</f>
        <v/>
      </c>
      <c r="AB28" s="93" t="str">
        <f>IF($BB28="","",IF(AB$6=$BJ28,"◆",IF(AND(AB$6&gt;=$BF28,AB$6&lt;=$BG28),IF(AND(AB$6&gt;=$BD28,AB$6&lt;=$BE28),"実","外"),IF(AND(AB$6&gt;=$BD28,AB$6&lt;=$BE28),"計",IF(AND(AB$6&gt;=$BH28,AB$6&lt;=$BI28),"遅","")))))</f>
        <v/>
      </c>
      <c r="AC28" s="93" t="str">
        <f>IF($BB28="","",IF(AC$6=$BJ28,"◆",IF(AND(AC$6&gt;=$BF28,AC$6&lt;=$BG28),IF(AND(AC$6&gt;=$BD28,AC$6&lt;=$BE28),"実","外"),IF(AND(AC$6&gt;=$BD28,AC$6&lt;=$BE28),"計",IF(AND(AC$6&gt;=$BH28,AC$6&lt;=$BI28),"遅","")))))</f>
        <v/>
      </c>
      <c r="AD28" s="93" t="str">
        <f>IF($BB28="","",IF(AD$6=$BJ28,"◆",IF(AND(AD$6&gt;=$BF28,AD$6&lt;=$BG28),IF(AND(AD$6&gt;=$BD28,AD$6&lt;=$BE28),"実","外"),IF(AND(AD$6&gt;=$BD28,AD$6&lt;=$BE28),"計",IF(AND(AD$6&gt;=$BH28,AD$6&lt;=$BI28),"遅","")))))</f>
        <v/>
      </c>
      <c r="AE28" s="93" t="str">
        <f>IF($BB28="","",IF(AE$6=$BJ28,"◆",IF(AND(AE$6&gt;=$BF28,AE$6&lt;=$BG28),IF(AND(AE$6&gt;=$BD28,AE$6&lt;=$BE28),"実","外"),IF(AND(AE$6&gt;=$BD28,AE$6&lt;=$BE28),"計",IF(AND(AE$6&gt;=$BH28,AE$6&lt;=$BI28),"遅","")))))</f>
        <v/>
      </c>
      <c r="AF28" s="93" t="str">
        <f>IF($BB28="","",IF(AF$6=$BJ28,"◆",IF(AND(AF$6&gt;=$BF28,AF$6&lt;=$BG28),IF(AND(AF$6&gt;=$BD28,AF$6&lt;=$BE28),"実","外"),IF(AND(AF$6&gt;=$BD28,AF$6&lt;=$BE28),"計",IF(AND(AF$6&gt;=$BH28,AF$6&lt;=$BI28),"遅","")))))</f>
        <v/>
      </c>
      <c r="AG28" s="93" t="str">
        <f>IF($BB28="","",IF(AG$6=$BJ28,"◆",IF(AND(AG$6&gt;=$BF28,AG$6&lt;=$BG28),IF(AND(AG$6&gt;=$BD28,AG$6&lt;=$BE28),"実","外"),IF(AND(AG$6&gt;=$BD28,AG$6&lt;=$BE28),"計",IF(AND(AG$6&gt;=$BH28,AG$6&lt;=$BI28),"遅","")))))</f>
        <v/>
      </c>
      <c r="AH28" s="93" t="str">
        <f>IF($BB28="","",IF(AH$6=$BJ28,"◆",IF(AND(AH$6&gt;=$BF28,AH$6&lt;=$BG28),IF(AND(AH$6&gt;=$BD28,AH$6&lt;=$BE28),"実","外"),IF(AND(AH$6&gt;=$BD28,AH$6&lt;=$BE28),"計",IF(AND(AH$6&gt;=$BH28,AH$6&lt;=$BI28),"遅","")))))</f>
        <v/>
      </c>
      <c r="AI28" s="93" t="str">
        <f>IF($BB28="","",IF(AI$6=$BJ28,"◆",IF(AND(AI$6&gt;=$BF28,AI$6&lt;=$BG28),IF(AND(AI$6&gt;=$BD28,AI$6&lt;=$BE28),"実","外"),IF(AND(AI$6&gt;=$BD28,AI$6&lt;=$BE28),"計",IF(AND(AI$6&gt;=$BH28,AI$6&lt;=$BI28),"遅","")))))</f>
        <v/>
      </c>
      <c r="AJ28" s="93" t="str">
        <f>IF($BB28="","",IF(AJ$6=$BJ28,"◆",IF(AND(AJ$6&gt;=$BF28,AJ$6&lt;=$BG28),IF(AND(AJ$6&gt;=$BD28,AJ$6&lt;=$BE28),"実","外"),IF(AND(AJ$6&gt;=$BD28,AJ$6&lt;=$BE28),"計",IF(AND(AJ$6&gt;=$BH28,AJ$6&lt;=$BI28),"遅","")))))</f>
        <v/>
      </c>
      <c r="AK28" s="93" t="str">
        <f>IF($BB28="","",IF(AK$6=$BJ28,"◆",IF(AND(AK$6&gt;=$BF28,AK$6&lt;=$BG28),IF(AND(AK$6&gt;=$BD28,AK$6&lt;=$BE28),"実","外"),IF(AND(AK$6&gt;=$BD28,AK$6&lt;=$BE28),"計",IF(AND(AK$6&gt;=$BH28,AK$6&lt;=$BI28),"遅","")))))</f>
        <v/>
      </c>
      <c r="AL28" s="93" t="str">
        <f>IF($BB28="","",IF(AL$6=$BJ28,"◆",IF(AND(AL$6&gt;=$BF28,AL$6&lt;=$BG28),IF(AND(AL$6&gt;=$BD28,AL$6&lt;=$BE28),"実","外"),IF(AND(AL$6&gt;=$BD28,AL$6&lt;=$BE28),"計",IF(AND(AL$6&gt;=$BH28,AL$6&lt;=$BI28),"遅","")))))</f>
        <v/>
      </c>
      <c r="AM28" s="93" t="str">
        <f>IF($BB28="","",IF(AM$6=$BJ28,"◆",IF(AND(AM$6&gt;=$BF28,AM$6&lt;=$BG28),IF(AND(AM$6&gt;=$BD28,AM$6&lt;=$BE28),"実","外"),IF(AND(AM$6&gt;=$BD28,AM$6&lt;=$BE28),"計",IF(AND(AM$6&gt;=$BH28,AM$6&lt;=$BI28),"遅","")))))</f>
        <v/>
      </c>
      <c r="AN28" s="93" t="str">
        <f>IF($BB28="","",IF(AN$6=$BJ28,"◆",IF(AND(AN$6&gt;=$BF28,AN$6&lt;=$BG28),IF(AND(AN$6&gt;=$BD28,AN$6&lt;=$BE28),"実","外"),IF(AND(AN$6&gt;=$BD28,AN$6&lt;=$BE28),"計",IF(AND(AN$6&gt;=$BH28,AN$6&lt;=$BI28),"遅","")))))</f>
        <v/>
      </c>
      <c r="AO28" s="93" t="str">
        <f>IF($BB28="","",IF(AO$6=$BJ28,"◆",IF(AND(AO$6&gt;=$BF28,AO$6&lt;=$BG28),IF(AND(AO$6&gt;=$BD28,AO$6&lt;=$BE28),"実","外"),IF(AND(AO$6&gt;=$BD28,AO$6&lt;=$BE28),"計",IF(AND(AO$6&gt;=$BH28,AO$6&lt;=$BI28),"遅","")))))</f>
        <v/>
      </c>
      <c r="AP28" s="93" t="str">
        <f>IF($BB28="","",IF(AP$6=$BJ28,"◆",IF(AND(AP$6&gt;=$BF28,AP$6&lt;=$BG28),IF(AND(AP$6&gt;=$BD28,AP$6&lt;=$BE28),"実","外"),IF(AND(AP$6&gt;=$BD28,AP$6&lt;=$BE28),"計",IF(AND(AP$6&gt;=$BH28,AP$6&lt;=$BI28),"遅","")))))</f>
        <v/>
      </c>
      <c r="AQ28" s="93" t="str">
        <f>IF($BB28="","",IF(AQ$6=$BJ28,"◆",IF(AND(AQ$6&gt;=$BF28,AQ$6&lt;=$BG28),IF(AND(AQ$6&gt;=$BD28,AQ$6&lt;=$BE28),"実","外"),IF(AND(AQ$6&gt;=$BD28,AQ$6&lt;=$BE28),"計",IF(AND(AQ$6&gt;=$BH28,AQ$6&lt;=$BI28),"遅","")))))</f>
        <v/>
      </c>
      <c r="AR28" s="93" t="str">
        <f>IF($BB28="","",IF(AR$6=$BJ28,"◆",IF(AND(AR$6&gt;=$BF28,AR$6&lt;=$BG28),IF(AND(AR$6&gt;=$BD28,AR$6&lt;=$BE28),"実","外"),IF(AND(AR$6&gt;=$BD28,AR$6&lt;=$BE28),"計",IF(AND(AR$6&gt;=$BH28,AR$6&lt;=$BI28),"遅","")))))</f>
        <v/>
      </c>
      <c r="AS28" s="93" t="str">
        <f>IF($BB28="","",IF(AS$6=$BJ28,"◆",IF(AND(AS$6&gt;=$BF28,AS$6&lt;=$BG28),IF(AND(AS$6&gt;=$BD28,AS$6&lt;=$BE28),"実","外"),IF(AND(AS$6&gt;=$BD28,AS$6&lt;=$BE28),"計",IF(AND(AS$6&gt;=$BH28,AS$6&lt;=$BI28),"遅","")))))</f>
        <v/>
      </c>
      <c r="AT28" s="93" t="str">
        <f>IF($BB28="","",IF(AT$6=$BJ28,"◆",IF(AND(AT$6&gt;=$BF28,AT$6&lt;=$BG28),IF(AND(AT$6&gt;=$BD28,AT$6&lt;=$BE28),"実","外"),IF(AND(AT$6&gt;=$BD28,AT$6&lt;=$BE28),"計",IF(AND(AT$6&gt;=$BH28,AT$6&lt;=$BI28),"遅","")))))</f>
        <v/>
      </c>
      <c r="AU28" s="93" t="str">
        <f>IF($BB28="","",IF(AU$6=$BJ28,"◆",IF(AND(AU$6&gt;=$BF28,AU$6&lt;=$BG28),IF(AND(AU$6&gt;=$BD28,AU$6&lt;=$BE28),"実","外"),IF(AND(AU$6&gt;=$BD28,AU$6&lt;=$BE28),"計",IF(AND(AU$6&gt;=$BH28,AU$6&lt;=$BI28),"遅","")))))</f>
        <v/>
      </c>
      <c r="AV28" s="93" t="str">
        <f>IF($BB28="","",IF(AV$6=$BJ28,"◆",IF(AND(AV$6&gt;=$BF28,AV$6&lt;=$BG28),IF(AND(AV$6&gt;=$BD28,AV$6&lt;=$BE28),"実","外"),IF(AND(AV$6&gt;=$BD28,AV$6&lt;=$BE28),"計",IF(AND(AV$6&gt;=$BH28,AV$6&lt;=$BI28),"遅","")))))</f>
        <v/>
      </c>
      <c r="AW28" s="93" t="str">
        <f>IF($BB28="","",IF(AW$6=$BJ28,"◆",IF(AND(AW$6&gt;=$BF28,AW$6&lt;=$BG28),IF(AND(AW$6&gt;=$BD28,AW$6&lt;=$BE28),"実","外"),IF(AND(AW$6&gt;=$BD28,AW$6&lt;=$BE28),"計",IF(AND(AW$6&gt;=$BH28,AW$6&lt;=$BI28),"遅","")))))</f>
        <v/>
      </c>
      <c r="AX28" s="93" t="str">
        <f>IF($BB28="","",IF(AX$6=$BJ28,"◆",IF(AND(AX$6&gt;=$BF28,AX$6&lt;=$BG28),IF(AND(AX$6&gt;=$BD28,AX$6&lt;=$BE28),"実","外"),IF(AND(AX$6&gt;=$BD28,AX$6&lt;=$BE28),"計",IF(AND(AX$6&gt;=$BH28,AX$6&lt;=$BI28),"遅","")))))</f>
        <v/>
      </c>
      <c r="AY28" s="93" t="str">
        <f>IF($BB28="","",IF(AY$6=$BJ28,"◆",IF(AND(AY$6&gt;=$BF28,AY$6&lt;=$BG28),IF(AND(AY$6&gt;=$BD28,AY$6&lt;=$BE28),"実","外"),IF(AND(AY$6&gt;=$BD28,AY$6&lt;=$BE28),"計",IF(AND(AY$6&gt;=$BH28,AY$6&lt;=$BI28),"遅","")))))</f>
        <v/>
      </c>
      <c r="AZ28" s="93" t="str">
        <f>IF($BB28="","",IF(AZ$6=$BJ28,"◆",IF(AND(AZ$6&gt;=$BF28,AZ$6&lt;=$BG28),IF(AND(AZ$6&gt;=$BD28,AZ$6&lt;=$BE28),"実","外"),IF(AND(AZ$6&gt;=$BD28,AZ$6&lt;=$BE28),"計",IF(AND(AZ$6&gt;=$BH28,AZ$6&lt;=$BI28),"遅","")))))</f>
        <v/>
      </c>
      <c r="BB28">
        <f>IF(21&gt;COUNTIF(tblSteps[日別対象],1),"",IFERROR(MATCH(21,tblSteps[日別順位],0),""))</f>
        <v>18</v>
      </c>
      <c r="BC28" t="str">
        <f>IF($BB28="","",INDEX(tblSteps[案件ID],$BB28)&amp;"")</f>
        <v>A0022</v>
      </c>
      <c r="BD28">
        <f>IF($BB28="","",INDEX(tblSteps[計開],$BB28))</f>
        <v>46300</v>
      </c>
      <c r="BE28">
        <f>IF($BB28="","",INDEX(tblSteps[計終],$BB28))</f>
        <v>46300</v>
      </c>
      <c r="BF28">
        <f>IF($BB28="","",INDEX(tblSteps[実開],$BB28))</f>
        <v>1</v>
      </c>
      <c r="BG28">
        <f>IF($BB28="","",INDEX(tblSteps[実終],$BB28))</f>
        <v>0</v>
      </c>
      <c r="BH28">
        <f>IF($BB28="","",INDEX(tblSteps[遅開],$BB28))</f>
        <v>46301</v>
      </c>
      <c r="BI28">
        <f>IF($BB28="","",INDEX(tblSteps[遅終],$BB28))</f>
        <v>0</v>
      </c>
      <c r="BJ28">
        <f>IF($BB28="","",INDEX(tblSteps[納期値],$BB28))</f>
        <v>46346</v>
      </c>
    </row>
    <row r="29" ht="18" customHeight="1">
      <c r="A29" s="89" t="str">
        <f>IF($BB29="","",INDEX(tblSteps[工程ID],$BB29)&amp;"")</f>
        <v>S0025</v>
      </c>
      <c r="B29" s="88" t="str">
        <f>IF($BB29="","",IF($BC29=$BC28,"",$BC29&amp;" "&amp;INDEX(tblSteps[案件名],$BB29)))</f>
        <v/>
      </c>
      <c r="C29" s="88" t="str">
        <f>IF($BB29="","",INDEX(tblSteps[工程名],$BB29)&amp;"")</f>
        <v>安全教育</v>
      </c>
      <c r="D29" s="89" t="str">
        <f>IF($BB29="","",INDEX(tblSteps[担当],$BB29)&amp;"")</f>
        <v>田中</v>
      </c>
      <c r="E29" s="89" t="str">
        <f>IF($BB29="","",INDEX(tblSteps[状態],$BB29)&amp;"")</f>
        <v>未着手</v>
      </c>
      <c r="F29" s="90">
        <f>IF($BB29="","",IF(ISNUMBER(INDEX(tblSteps[進捗率],$BB29)),INDEX(tblSteps[進捗率],$BB29),""))</f>
        <v>0</v>
      </c>
      <c r="G29" s="91">
        <f>IF($BB29="","",IF(ISNUMBER(INDEX(tblSteps[計画開始日],$BB29)),INDEX(tblSteps[計画開始日],$BB29),"未入力"))</f>
        <v>46300.0</v>
      </c>
      <c r="H29" s="91">
        <f>IF($BB29="","",IF(ISNUMBER(INDEX(tblSteps[計画終了日],$BB29)),INDEX(tblSteps[計画終了日],$BB29),"未入力"))</f>
        <v>46300.0</v>
      </c>
      <c r="I29" s="91" t="str">
        <f>IF($BB29="","",IF(ISNUMBER(INDEX(tblSteps[完了見込日],$BB29)),INDEX(tblSteps[完了見込日],$BB29),""))</f>
        <v/>
      </c>
      <c r="J29" s="92" t="str">
        <f>IF($BB29="","",INDEX(tblSteps[注意短],$BB29)&amp;"")</f>
        <v/>
      </c>
      <c r="K29" s="93" t="str">
        <f>IF($BB29="","",IF(K$6=$BJ29,"◆",IF(AND(K$6&gt;=$BF29,K$6&lt;=$BG29),IF(AND(K$6&gt;=$BD29,K$6&lt;=$BE29),"実","外"),IF(AND(K$6&gt;=$BD29,K$6&lt;=$BE29),"計",IF(AND(K$6&gt;=$BH29,K$6&lt;=$BI29),"遅","")))))</f>
        <v/>
      </c>
      <c r="L29" s="93" t="str">
        <f>IF($BB29="","",IF(L$6=$BJ29,"◆",IF(AND(L$6&gt;=$BF29,L$6&lt;=$BG29),IF(AND(L$6&gt;=$BD29,L$6&lt;=$BE29),"実","外"),IF(AND(L$6&gt;=$BD29,L$6&lt;=$BE29),"計",IF(AND(L$6&gt;=$BH29,L$6&lt;=$BI29),"遅","")))))</f>
        <v/>
      </c>
      <c r="M29" s="93" t="str">
        <f>IF($BB29="","",IF(M$6=$BJ29,"◆",IF(AND(M$6&gt;=$BF29,M$6&lt;=$BG29),IF(AND(M$6&gt;=$BD29,M$6&lt;=$BE29),"実","外"),IF(AND(M$6&gt;=$BD29,M$6&lt;=$BE29),"計",IF(AND(M$6&gt;=$BH29,M$6&lt;=$BI29),"遅","")))))</f>
        <v/>
      </c>
      <c r="N29" s="93" t="str">
        <f>IF($BB29="","",IF(N$6=$BJ29,"◆",IF(AND(N$6&gt;=$BF29,N$6&lt;=$BG29),IF(AND(N$6&gt;=$BD29,N$6&lt;=$BE29),"実","外"),IF(AND(N$6&gt;=$BD29,N$6&lt;=$BE29),"計",IF(AND(N$6&gt;=$BH29,N$6&lt;=$BI29),"遅","")))))</f>
        <v/>
      </c>
      <c r="O29" s="93" t="str">
        <f>IF($BB29="","",IF(O$6=$BJ29,"◆",IF(AND(O$6&gt;=$BF29,O$6&lt;=$BG29),IF(AND(O$6&gt;=$BD29,O$6&lt;=$BE29),"実","外"),IF(AND(O$6&gt;=$BD29,O$6&lt;=$BE29),"計",IF(AND(O$6&gt;=$BH29,O$6&lt;=$BI29),"遅","")))))</f>
        <v/>
      </c>
      <c r="P29" s="93" t="str">
        <f>IF($BB29="","",IF(P$6=$BJ29,"◆",IF(AND(P$6&gt;=$BF29,P$6&lt;=$BG29),IF(AND(P$6&gt;=$BD29,P$6&lt;=$BE29),"実","外"),IF(AND(P$6&gt;=$BD29,P$6&lt;=$BE29),"計",IF(AND(P$6&gt;=$BH29,P$6&lt;=$BI29),"遅","")))))</f>
        <v/>
      </c>
      <c r="Q29" s="93" t="str">
        <f>IF($BB29="","",IF(Q$6=$BJ29,"◆",IF(AND(Q$6&gt;=$BF29,Q$6&lt;=$BG29),IF(AND(Q$6&gt;=$BD29,Q$6&lt;=$BE29),"実","外"),IF(AND(Q$6&gt;=$BD29,Q$6&lt;=$BE29),"計",IF(AND(Q$6&gt;=$BH29,Q$6&lt;=$BI29),"遅","")))))</f>
        <v/>
      </c>
      <c r="R29" s="93" t="str">
        <f>IF($BB29="","",IF(R$6=$BJ29,"◆",IF(AND(R$6&gt;=$BF29,R$6&lt;=$BG29),IF(AND(R$6&gt;=$BD29,R$6&lt;=$BE29),"実","外"),IF(AND(R$6&gt;=$BD29,R$6&lt;=$BE29),"計",IF(AND(R$6&gt;=$BH29,R$6&lt;=$BI29),"遅","")))))</f>
        <v>計</v>
      </c>
      <c r="S29" s="93" t="str">
        <f>IF($BB29="","",IF(S$6=$BJ29,"◆",IF(AND(S$6&gt;=$BF29,S$6&lt;=$BG29),IF(AND(S$6&gt;=$BD29,S$6&lt;=$BE29),"実","外"),IF(AND(S$6&gt;=$BD29,S$6&lt;=$BE29),"計",IF(AND(S$6&gt;=$BH29,S$6&lt;=$BI29),"遅","")))))</f>
        <v/>
      </c>
      <c r="T29" s="93" t="str">
        <f>IF($BB29="","",IF(T$6=$BJ29,"◆",IF(AND(T$6&gt;=$BF29,T$6&lt;=$BG29),IF(AND(T$6&gt;=$BD29,T$6&lt;=$BE29),"実","外"),IF(AND(T$6&gt;=$BD29,T$6&lt;=$BE29),"計",IF(AND(T$6&gt;=$BH29,T$6&lt;=$BI29),"遅","")))))</f>
        <v/>
      </c>
      <c r="U29" s="93" t="str">
        <f>IF($BB29="","",IF(U$6=$BJ29,"◆",IF(AND(U$6&gt;=$BF29,U$6&lt;=$BG29),IF(AND(U$6&gt;=$BD29,U$6&lt;=$BE29),"実","外"),IF(AND(U$6&gt;=$BD29,U$6&lt;=$BE29),"計",IF(AND(U$6&gt;=$BH29,U$6&lt;=$BI29),"遅","")))))</f>
        <v/>
      </c>
      <c r="V29" s="93" t="str">
        <f>IF($BB29="","",IF(V$6=$BJ29,"◆",IF(AND(V$6&gt;=$BF29,V$6&lt;=$BG29),IF(AND(V$6&gt;=$BD29,V$6&lt;=$BE29),"実","外"),IF(AND(V$6&gt;=$BD29,V$6&lt;=$BE29),"計",IF(AND(V$6&gt;=$BH29,V$6&lt;=$BI29),"遅","")))))</f>
        <v/>
      </c>
      <c r="W29" s="93" t="str">
        <f>IF($BB29="","",IF(W$6=$BJ29,"◆",IF(AND(W$6&gt;=$BF29,W$6&lt;=$BG29),IF(AND(W$6&gt;=$BD29,W$6&lt;=$BE29),"実","外"),IF(AND(W$6&gt;=$BD29,W$6&lt;=$BE29),"計",IF(AND(W$6&gt;=$BH29,W$6&lt;=$BI29),"遅","")))))</f>
        <v/>
      </c>
      <c r="X29" s="93" t="str">
        <f>IF($BB29="","",IF(X$6=$BJ29,"◆",IF(AND(X$6&gt;=$BF29,X$6&lt;=$BG29),IF(AND(X$6&gt;=$BD29,X$6&lt;=$BE29),"実","外"),IF(AND(X$6&gt;=$BD29,X$6&lt;=$BE29),"計",IF(AND(X$6&gt;=$BH29,X$6&lt;=$BI29),"遅","")))))</f>
        <v/>
      </c>
      <c r="Y29" s="93" t="str">
        <f>IF($BB29="","",IF(Y$6=$BJ29,"◆",IF(AND(Y$6&gt;=$BF29,Y$6&lt;=$BG29),IF(AND(Y$6&gt;=$BD29,Y$6&lt;=$BE29),"実","外"),IF(AND(Y$6&gt;=$BD29,Y$6&lt;=$BE29),"計",IF(AND(Y$6&gt;=$BH29,Y$6&lt;=$BI29),"遅","")))))</f>
        <v/>
      </c>
      <c r="Z29" s="93" t="str">
        <f>IF($BB29="","",IF(Z$6=$BJ29,"◆",IF(AND(Z$6&gt;=$BF29,Z$6&lt;=$BG29),IF(AND(Z$6&gt;=$BD29,Z$6&lt;=$BE29),"実","外"),IF(AND(Z$6&gt;=$BD29,Z$6&lt;=$BE29),"計",IF(AND(Z$6&gt;=$BH29,Z$6&lt;=$BI29),"遅","")))))</f>
        <v/>
      </c>
      <c r="AA29" s="93" t="str">
        <f>IF($BB29="","",IF(AA$6=$BJ29,"◆",IF(AND(AA$6&gt;=$BF29,AA$6&lt;=$BG29),IF(AND(AA$6&gt;=$BD29,AA$6&lt;=$BE29),"実","外"),IF(AND(AA$6&gt;=$BD29,AA$6&lt;=$BE29),"計",IF(AND(AA$6&gt;=$BH29,AA$6&lt;=$BI29),"遅","")))))</f>
        <v/>
      </c>
      <c r="AB29" s="93" t="str">
        <f>IF($BB29="","",IF(AB$6=$BJ29,"◆",IF(AND(AB$6&gt;=$BF29,AB$6&lt;=$BG29),IF(AND(AB$6&gt;=$BD29,AB$6&lt;=$BE29),"実","外"),IF(AND(AB$6&gt;=$BD29,AB$6&lt;=$BE29),"計",IF(AND(AB$6&gt;=$BH29,AB$6&lt;=$BI29),"遅","")))))</f>
        <v/>
      </c>
      <c r="AC29" s="93" t="str">
        <f>IF($BB29="","",IF(AC$6=$BJ29,"◆",IF(AND(AC$6&gt;=$BF29,AC$6&lt;=$BG29),IF(AND(AC$6&gt;=$BD29,AC$6&lt;=$BE29),"実","外"),IF(AND(AC$6&gt;=$BD29,AC$6&lt;=$BE29),"計",IF(AND(AC$6&gt;=$BH29,AC$6&lt;=$BI29),"遅","")))))</f>
        <v/>
      </c>
      <c r="AD29" s="93" t="str">
        <f>IF($BB29="","",IF(AD$6=$BJ29,"◆",IF(AND(AD$6&gt;=$BF29,AD$6&lt;=$BG29),IF(AND(AD$6&gt;=$BD29,AD$6&lt;=$BE29),"実","外"),IF(AND(AD$6&gt;=$BD29,AD$6&lt;=$BE29),"計",IF(AND(AD$6&gt;=$BH29,AD$6&lt;=$BI29),"遅","")))))</f>
        <v/>
      </c>
      <c r="AE29" s="93" t="str">
        <f>IF($BB29="","",IF(AE$6=$BJ29,"◆",IF(AND(AE$6&gt;=$BF29,AE$6&lt;=$BG29),IF(AND(AE$6&gt;=$BD29,AE$6&lt;=$BE29),"実","外"),IF(AND(AE$6&gt;=$BD29,AE$6&lt;=$BE29),"計",IF(AND(AE$6&gt;=$BH29,AE$6&lt;=$BI29),"遅","")))))</f>
        <v/>
      </c>
      <c r="AF29" s="93" t="str">
        <f>IF($BB29="","",IF(AF$6=$BJ29,"◆",IF(AND(AF$6&gt;=$BF29,AF$6&lt;=$BG29),IF(AND(AF$6&gt;=$BD29,AF$6&lt;=$BE29),"実","外"),IF(AND(AF$6&gt;=$BD29,AF$6&lt;=$BE29),"計",IF(AND(AF$6&gt;=$BH29,AF$6&lt;=$BI29),"遅","")))))</f>
        <v/>
      </c>
      <c r="AG29" s="93" t="str">
        <f>IF($BB29="","",IF(AG$6=$BJ29,"◆",IF(AND(AG$6&gt;=$BF29,AG$6&lt;=$BG29),IF(AND(AG$6&gt;=$BD29,AG$6&lt;=$BE29),"実","外"),IF(AND(AG$6&gt;=$BD29,AG$6&lt;=$BE29),"計",IF(AND(AG$6&gt;=$BH29,AG$6&lt;=$BI29),"遅","")))))</f>
        <v/>
      </c>
      <c r="AH29" s="93" t="str">
        <f>IF($BB29="","",IF(AH$6=$BJ29,"◆",IF(AND(AH$6&gt;=$BF29,AH$6&lt;=$BG29),IF(AND(AH$6&gt;=$BD29,AH$6&lt;=$BE29),"実","外"),IF(AND(AH$6&gt;=$BD29,AH$6&lt;=$BE29),"計",IF(AND(AH$6&gt;=$BH29,AH$6&lt;=$BI29),"遅","")))))</f>
        <v/>
      </c>
      <c r="AI29" s="93" t="str">
        <f>IF($BB29="","",IF(AI$6=$BJ29,"◆",IF(AND(AI$6&gt;=$BF29,AI$6&lt;=$BG29),IF(AND(AI$6&gt;=$BD29,AI$6&lt;=$BE29),"実","外"),IF(AND(AI$6&gt;=$BD29,AI$6&lt;=$BE29),"計",IF(AND(AI$6&gt;=$BH29,AI$6&lt;=$BI29),"遅","")))))</f>
        <v/>
      </c>
      <c r="AJ29" s="93" t="str">
        <f>IF($BB29="","",IF(AJ$6=$BJ29,"◆",IF(AND(AJ$6&gt;=$BF29,AJ$6&lt;=$BG29),IF(AND(AJ$6&gt;=$BD29,AJ$6&lt;=$BE29),"実","外"),IF(AND(AJ$6&gt;=$BD29,AJ$6&lt;=$BE29),"計",IF(AND(AJ$6&gt;=$BH29,AJ$6&lt;=$BI29),"遅","")))))</f>
        <v/>
      </c>
      <c r="AK29" s="93" t="str">
        <f>IF($BB29="","",IF(AK$6=$BJ29,"◆",IF(AND(AK$6&gt;=$BF29,AK$6&lt;=$BG29),IF(AND(AK$6&gt;=$BD29,AK$6&lt;=$BE29),"実","外"),IF(AND(AK$6&gt;=$BD29,AK$6&lt;=$BE29),"計",IF(AND(AK$6&gt;=$BH29,AK$6&lt;=$BI29),"遅","")))))</f>
        <v/>
      </c>
      <c r="AL29" s="93" t="str">
        <f>IF($BB29="","",IF(AL$6=$BJ29,"◆",IF(AND(AL$6&gt;=$BF29,AL$6&lt;=$BG29),IF(AND(AL$6&gt;=$BD29,AL$6&lt;=$BE29),"実","外"),IF(AND(AL$6&gt;=$BD29,AL$6&lt;=$BE29),"計",IF(AND(AL$6&gt;=$BH29,AL$6&lt;=$BI29),"遅","")))))</f>
        <v/>
      </c>
      <c r="AM29" s="93" t="str">
        <f>IF($BB29="","",IF(AM$6=$BJ29,"◆",IF(AND(AM$6&gt;=$BF29,AM$6&lt;=$BG29),IF(AND(AM$6&gt;=$BD29,AM$6&lt;=$BE29),"実","外"),IF(AND(AM$6&gt;=$BD29,AM$6&lt;=$BE29),"計",IF(AND(AM$6&gt;=$BH29,AM$6&lt;=$BI29),"遅","")))))</f>
        <v/>
      </c>
      <c r="AN29" s="93" t="str">
        <f>IF($BB29="","",IF(AN$6=$BJ29,"◆",IF(AND(AN$6&gt;=$BF29,AN$6&lt;=$BG29),IF(AND(AN$6&gt;=$BD29,AN$6&lt;=$BE29),"実","外"),IF(AND(AN$6&gt;=$BD29,AN$6&lt;=$BE29),"計",IF(AND(AN$6&gt;=$BH29,AN$6&lt;=$BI29),"遅","")))))</f>
        <v/>
      </c>
      <c r="AO29" s="93" t="str">
        <f>IF($BB29="","",IF(AO$6=$BJ29,"◆",IF(AND(AO$6&gt;=$BF29,AO$6&lt;=$BG29),IF(AND(AO$6&gt;=$BD29,AO$6&lt;=$BE29),"実","外"),IF(AND(AO$6&gt;=$BD29,AO$6&lt;=$BE29),"計",IF(AND(AO$6&gt;=$BH29,AO$6&lt;=$BI29),"遅","")))))</f>
        <v/>
      </c>
      <c r="AP29" s="93" t="str">
        <f>IF($BB29="","",IF(AP$6=$BJ29,"◆",IF(AND(AP$6&gt;=$BF29,AP$6&lt;=$BG29),IF(AND(AP$6&gt;=$BD29,AP$6&lt;=$BE29),"実","外"),IF(AND(AP$6&gt;=$BD29,AP$6&lt;=$BE29),"計",IF(AND(AP$6&gt;=$BH29,AP$6&lt;=$BI29),"遅","")))))</f>
        <v/>
      </c>
      <c r="AQ29" s="93" t="str">
        <f>IF($BB29="","",IF(AQ$6=$BJ29,"◆",IF(AND(AQ$6&gt;=$BF29,AQ$6&lt;=$BG29),IF(AND(AQ$6&gt;=$BD29,AQ$6&lt;=$BE29),"実","外"),IF(AND(AQ$6&gt;=$BD29,AQ$6&lt;=$BE29),"計",IF(AND(AQ$6&gt;=$BH29,AQ$6&lt;=$BI29),"遅","")))))</f>
        <v/>
      </c>
      <c r="AR29" s="93" t="str">
        <f>IF($BB29="","",IF(AR$6=$BJ29,"◆",IF(AND(AR$6&gt;=$BF29,AR$6&lt;=$BG29),IF(AND(AR$6&gt;=$BD29,AR$6&lt;=$BE29),"実","外"),IF(AND(AR$6&gt;=$BD29,AR$6&lt;=$BE29),"計",IF(AND(AR$6&gt;=$BH29,AR$6&lt;=$BI29),"遅","")))))</f>
        <v/>
      </c>
      <c r="AS29" s="93" t="str">
        <f>IF($BB29="","",IF(AS$6=$BJ29,"◆",IF(AND(AS$6&gt;=$BF29,AS$6&lt;=$BG29),IF(AND(AS$6&gt;=$BD29,AS$6&lt;=$BE29),"実","外"),IF(AND(AS$6&gt;=$BD29,AS$6&lt;=$BE29),"計",IF(AND(AS$6&gt;=$BH29,AS$6&lt;=$BI29),"遅","")))))</f>
        <v/>
      </c>
      <c r="AT29" s="93" t="str">
        <f>IF($BB29="","",IF(AT$6=$BJ29,"◆",IF(AND(AT$6&gt;=$BF29,AT$6&lt;=$BG29),IF(AND(AT$6&gt;=$BD29,AT$6&lt;=$BE29),"実","外"),IF(AND(AT$6&gt;=$BD29,AT$6&lt;=$BE29),"計",IF(AND(AT$6&gt;=$BH29,AT$6&lt;=$BI29),"遅","")))))</f>
        <v/>
      </c>
      <c r="AU29" s="93" t="str">
        <f>IF($BB29="","",IF(AU$6=$BJ29,"◆",IF(AND(AU$6&gt;=$BF29,AU$6&lt;=$BG29),IF(AND(AU$6&gt;=$BD29,AU$6&lt;=$BE29),"実","外"),IF(AND(AU$6&gt;=$BD29,AU$6&lt;=$BE29),"計",IF(AND(AU$6&gt;=$BH29,AU$6&lt;=$BI29),"遅","")))))</f>
        <v/>
      </c>
      <c r="AV29" s="93" t="str">
        <f>IF($BB29="","",IF(AV$6=$BJ29,"◆",IF(AND(AV$6&gt;=$BF29,AV$6&lt;=$BG29),IF(AND(AV$6&gt;=$BD29,AV$6&lt;=$BE29),"実","外"),IF(AND(AV$6&gt;=$BD29,AV$6&lt;=$BE29),"計",IF(AND(AV$6&gt;=$BH29,AV$6&lt;=$BI29),"遅","")))))</f>
        <v/>
      </c>
      <c r="AW29" s="93" t="str">
        <f>IF($BB29="","",IF(AW$6=$BJ29,"◆",IF(AND(AW$6&gt;=$BF29,AW$6&lt;=$BG29),IF(AND(AW$6&gt;=$BD29,AW$6&lt;=$BE29),"実","外"),IF(AND(AW$6&gt;=$BD29,AW$6&lt;=$BE29),"計",IF(AND(AW$6&gt;=$BH29,AW$6&lt;=$BI29),"遅","")))))</f>
        <v/>
      </c>
      <c r="AX29" s="93" t="str">
        <f>IF($BB29="","",IF(AX$6=$BJ29,"◆",IF(AND(AX$6&gt;=$BF29,AX$6&lt;=$BG29),IF(AND(AX$6&gt;=$BD29,AX$6&lt;=$BE29),"実","外"),IF(AND(AX$6&gt;=$BD29,AX$6&lt;=$BE29),"計",IF(AND(AX$6&gt;=$BH29,AX$6&lt;=$BI29),"遅","")))))</f>
        <v/>
      </c>
      <c r="AY29" s="93" t="str">
        <f>IF($BB29="","",IF(AY$6=$BJ29,"◆",IF(AND(AY$6&gt;=$BF29,AY$6&lt;=$BG29),IF(AND(AY$6&gt;=$BD29,AY$6&lt;=$BE29),"実","外"),IF(AND(AY$6&gt;=$BD29,AY$6&lt;=$BE29),"計",IF(AND(AY$6&gt;=$BH29,AY$6&lt;=$BI29),"遅","")))))</f>
        <v/>
      </c>
      <c r="AZ29" s="93" t="str">
        <f>IF($BB29="","",IF(AZ$6=$BJ29,"◆",IF(AND(AZ$6&gt;=$BF29,AZ$6&lt;=$BG29),IF(AND(AZ$6&gt;=$BD29,AZ$6&lt;=$BE29),"実","外"),IF(AND(AZ$6&gt;=$BD29,AZ$6&lt;=$BE29),"計",IF(AND(AZ$6&gt;=$BH29,AZ$6&lt;=$BI29),"遅","")))))</f>
        <v/>
      </c>
      <c r="BB29">
        <f>IF(22&gt;COUNTIF(tblSteps[日別対象],1),"",IFERROR(MATCH(22,tblSteps[日別順位],0),""))</f>
        <v>25</v>
      </c>
      <c r="BC29" t="str">
        <f>IF($BB29="","",INDEX(tblSteps[案件ID],$BB29)&amp;"")</f>
        <v>A0022</v>
      </c>
      <c r="BD29">
        <f>IF($BB29="","",INDEX(tblSteps[計開],$BB29))</f>
        <v>46300</v>
      </c>
      <c r="BE29">
        <f>IF($BB29="","",INDEX(tblSteps[計終],$BB29))</f>
        <v>46300</v>
      </c>
      <c r="BF29">
        <f>IF($BB29="","",INDEX(tblSteps[実開],$BB29))</f>
        <v>1</v>
      </c>
      <c r="BG29">
        <f>IF($BB29="","",INDEX(tblSteps[実終],$BB29))</f>
        <v>0</v>
      </c>
      <c r="BH29">
        <f>IF($BB29="","",INDEX(tblSteps[遅開],$BB29))</f>
        <v>46301</v>
      </c>
      <c r="BI29">
        <f>IF($BB29="","",INDEX(tblSteps[遅終],$BB29))</f>
        <v>0</v>
      </c>
      <c r="BJ29">
        <f>IF($BB29="","",INDEX(tblSteps[納期値],$BB29))</f>
        <v>46346</v>
      </c>
    </row>
    <row r="30" ht="18" customHeight="1">
      <c r="A30" s="89" t="str">
        <f>IF($BB30="","",INDEX(tblSteps[工程ID],$BB30)&amp;"")</f>
        <v>S0030</v>
      </c>
      <c r="B30" s="88" t="str">
        <f>IF($BB30="","",IF($BC30=$BC29,"",$BC30&amp;" "&amp;INDEX(tblSteps[案件名],$BB30)))</f>
        <v/>
      </c>
      <c r="C30" s="88" t="str">
        <f>IF($BB30="","",INDEX(tblSteps[工程名],$BB30)&amp;"")</f>
        <v>追加工事の現地調査</v>
      </c>
      <c r="D30" s="89" t="str">
        <f>IF($BB30="","",INDEX(tblSteps[担当],$BB30)&amp;"")</f>
        <v>田中</v>
      </c>
      <c r="E30" s="89" t="str">
        <f>IF($BB30="","",INDEX(tblSteps[状態],$BB30)&amp;"")</f>
        <v>未着手</v>
      </c>
      <c r="F30" s="90">
        <f>IF($BB30="","",IF(ISNUMBER(INDEX(tblSteps[進捗率],$BB30)),INDEX(tblSteps[進捗率],$BB30),""))</f>
        <v>0</v>
      </c>
      <c r="G30" s="91">
        <f>IF($BB30="","",IF(ISNUMBER(INDEX(tblSteps[計画開始日],$BB30)),INDEX(tblSteps[計画開始日],$BB30),"未入力"))</f>
        <v>46303.0</v>
      </c>
      <c r="H30" s="91">
        <f>IF($BB30="","",IF(ISNUMBER(INDEX(tblSteps[計画終了日],$BB30)),INDEX(tblSteps[計画終了日],$BB30),"未入力"))</f>
        <v>46303.0</v>
      </c>
      <c r="I30" s="91" t="str">
        <f>IF($BB30="","",IF(ISNUMBER(INDEX(tblSteps[完了見込日],$BB30)),INDEX(tblSteps[完了見込日],$BB30),""))</f>
        <v/>
      </c>
      <c r="J30" s="92" t="str">
        <f>IF($BB30="","",INDEX(tblSteps[注意短],$BB30)&amp;"")</f>
        <v>重複の可能性</v>
      </c>
      <c r="K30" s="93" t="str">
        <f>IF($BB30="","",IF(K$6=$BJ30,"◆",IF(AND(K$6&gt;=$BF30,K$6&lt;=$BG30),IF(AND(K$6&gt;=$BD30,K$6&lt;=$BE30),"実","外"),IF(AND(K$6&gt;=$BD30,K$6&lt;=$BE30),"計",IF(AND(K$6&gt;=$BH30,K$6&lt;=$BI30),"遅","")))))</f>
        <v/>
      </c>
      <c r="L30" s="93" t="str">
        <f>IF($BB30="","",IF(L$6=$BJ30,"◆",IF(AND(L$6&gt;=$BF30,L$6&lt;=$BG30),IF(AND(L$6&gt;=$BD30,L$6&lt;=$BE30),"実","外"),IF(AND(L$6&gt;=$BD30,L$6&lt;=$BE30),"計",IF(AND(L$6&gt;=$BH30,L$6&lt;=$BI30),"遅","")))))</f>
        <v/>
      </c>
      <c r="M30" s="93" t="str">
        <f>IF($BB30="","",IF(M$6=$BJ30,"◆",IF(AND(M$6&gt;=$BF30,M$6&lt;=$BG30),IF(AND(M$6&gt;=$BD30,M$6&lt;=$BE30),"実","外"),IF(AND(M$6&gt;=$BD30,M$6&lt;=$BE30),"計",IF(AND(M$6&gt;=$BH30,M$6&lt;=$BI30),"遅","")))))</f>
        <v/>
      </c>
      <c r="N30" s="93" t="str">
        <f>IF($BB30="","",IF(N$6=$BJ30,"◆",IF(AND(N$6&gt;=$BF30,N$6&lt;=$BG30),IF(AND(N$6&gt;=$BD30,N$6&lt;=$BE30),"実","外"),IF(AND(N$6&gt;=$BD30,N$6&lt;=$BE30),"計",IF(AND(N$6&gt;=$BH30,N$6&lt;=$BI30),"遅","")))))</f>
        <v/>
      </c>
      <c r="O30" s="93" t="str">
        <f>IF($BB30="","",IF(O$6=$BJ30,"◆",IF(AND(O$6&gt;=$BF30,O$6&lt;=$BG30),IF(AND(O$6&gt;=$BD30,O$6&lt;=$BE30),"実","外"),IF(AND(O$6&gt;=$BD30,O$6&lt;=$BE30),"計",IF(AND(O$6&gt;=$BH30,O$6&lt;=$BI30),"遅","")))))</f>
        <v/>
      </c>
      <c r="P30" s="93" t="str">
        <f>IF($BB30="","",IF(P$6=$BJ30,"◆",IF(AND(P$6&gt;=$BF30,P$6&lt;=$BG30),IF(AND(P$6&gt;=$BD30,P$6&lt;=$BE30),"実","外"),IF(AND(P$6&gt;=$BD30,P$6&lt;=$BE30),"計",IF(AND(P$6&gt;=$BH30,P$6&lt;=$BI30),"遅","")))))</f>
        <v/>
      </c>
      <c r="Q30" s="93" t="str">
        <f>IF($BB30="","",IF(Q$6=$BJ30,"◆",IF(AND(Q$6&gt;=$BF30,Q$6&lt;=$BG30),IF(AND(Q$6&gt;=$BD30,Q$6&lt;=$BE30),"実","外"),IF(AND(Q$6&gt;=$BD30,Q$6&lt;=$BE30),"計",IF(AND(Q$6&gt;=$BH30,Q$6&lt;=$BI30),"遅","")))))</f>
        <v/>
      </c>
      <c r="R30" s="93" t="str">
        <f>IF($BB30="","",IF(R$6=$BJ30,"◆",IF(AND(R$6&gt;=$BF30,R$6&lt;=$BG30),IF(AND(R$6&gt;=$BD30,R$6&lt;=$BE30),"実","外"),IF(AND(R$6&gt;=$BD30,R$6&lt;=$BE30),"計",IF(AND(R$6&gt;=$BH30,R$6&lt;=$BI30),"遅","")))))</f>
        <v/>
      </c>
      <c r="S30" s="93" t="str">
        <f>IF($BB30="","",IF(S$6=$BJ30,"◆",IF(AND(S$6&gt;=$BF30,S$6&lt;=$BG30),IF(AND(S$6&gt;=$BD30,S$6&lt;=$BE30),"実","外"),IF(AND(S$6&gt;=$BD30,S$6&lt;=$BE30),"計",IF(AND(S$6&gt;=$BH30,S$6&lt;=$BI30),"遅","")))))</f>
        <v/>
      </c>
      <c r="T30" s="93" t="str">
        <f>IF($BB30="","",IF(T$6=$BJ30,"◆",IF(AND(T$6&gt;=$BF30,T$6&lt;=$BG30),IF(AND(T$6&gt;=$BD30,T$6&lt;=$BE30),"実","外"),IF(AND(T$6&gt;=$BD30,T$6&lt;=$BE30),"計",IF(AND(T$6&gt;=$BH30,T$6&lt;=$BI30),"遅","")))))</f>
        <v/>
      </c>
      <c r="U30" s="93" t="str">
        <f>IF($BB30="","",IF(U$6=$BJ30,"◆",IF(AND(U$6&gt;=$BF30,U$6&lt;=$BG30),IF(AND(U$6&gt;=$BD30,U$6&lt;=$BE30),"実","外"),IF(AND(U$6&gt;=$BD30,U$6&lt;=$BE30),"計",IF(AND(U$6&gt;=$BH30,U$6&lt;=$BI30),"遅","")))))</f>
        <v>計</v>
      </c>
      <c r="V30" s="93" t="str">
        <f>IF($BB30="","",IF(V$6=$BJ30,"◆",IF(AND(V$6&gt;=$BF30,V$6&lt;=$BG30),IF(AND(V$6&gt;=$BD30,V$6&lt;=$BE30),"実","外"),IF(AND(V$6&gt;=$BD30,V$6&lt;=$BE30),"計",IF(AND(V$6&gt;=$BH30,V$6&lt;=$BI30),"遅","")))))</f>
        <v/>
      </c>
      <c r="W30" s="93" t="str">
        <f>IF($BB30="","",IF(W$6=$BJ30,"◆",IF(AND(W$6&gt;=$BF30,W$6&lt;=$BG30),IF(AND(W$6&gt;=$BD30,W$6&lt;=$BE30),"実","外"),IF(AND(W$6&gt;=$BD30,W$6&lt;=$BE30),"計",IF(AND(W$6&gt;=$BH30,W$6&lt;=$BI30),"遅","")))))</f>
        <v/>
      </c>
      <c r="X30" s="93" t="str">
        <f>IF($BB30="","",IF(X$6=$BJ30,"◆",IF(AND(X$6&gt;=$BF30,X$6&lt;=$BG30),IF(AND(X$6&gt;=$BD30,X$6&lt;=$BE30),"実","外"),IF(AND(X$6&gt;=$BD30,X$6&lt;=$BE30),"計",IF(AND(X$6&gt;=$BH30,X$6&lt;=$BI30),"遅","")))))</f>
        <v/>
      </c>
      <c r="Y30" s="93" t="str">
        <f>IF($BB30="","",IF(Y$6=$BJ30,"◆",IF(AND(Y$6&gt;=$BF30,Y$6&lt;=$BG30),IF(AND(Y$6&gt;=$BD30,Y$6&lt;=$BE30),"実","外"),IF(AND(Y$6&gt;=$BD30,Y$6&lt;=$BE30),"計",IF(AND(Y$6&gt;=$BH30,Y$6&lt;=$BI30),"遅","")))))</f>
        <v/>
      </c>
      <c r="Z30" s="93" t="str">
        <f>IF($BB30="","",IF(Z$6=$BJ30,"◆",IF(AND(Z$6&gt;=$BF30,Z$6&lt;=$BG30),IF(AND(Z$6&gt;=$BD30,Z$6&lt;=$BE30),"実","外"),IF(AND(Z$6&gt;=$BD30,Z$6&lt;=$BE30),"計",IF(AND(Z$6&gt;=$BH30,Z$6&lt;=$BI30),"遅","")))))</f>
        <v/>
      </c>
      <c r="AA30" s="93" t="str">
        <f>IF($BB30="","",IF(AA$6=$BJ30,"◆",IF(AND(AA$6&gt;=$BF30,AA$6&lt;=$BG30),IF(AND(AA$6&gt;=$BD30,AA$6&lt;=$BE30),"実","外"),IF(AND(AA$6&gt;=$BD30,AA$6&lt;=$BE30),"計",IF(AND(AA$6&gt;=$BH30,AA$6&lt;=$BI30),"遅","")))))</f>
        <v/>
      </c>
      <c r="AB30" s="93" t="str">
        <f>IF($BB30="","",IF(AB$6=$BJ30,"◆",IF(AND(AB$6&gt;=$BF30,AB$6&lt;=$BG30),IF(AND(AB$6&gt;=$BD30,AB$6&lt;=$BE30),"実","外"),IF(AND(AB$6&gt;=$BD30,AB$6&lt;=$BE30),"計",IF(AND(AB$6&gt;=$BH30,AB$6&lt;=$BI30),"遅","")))))</f>
        <v/>
      </c>
      <c r="AC30" s="93" t="str">
        <f>IF($BB30="","",IF(AC$6=$BJ30,"◆",IF(AND(AC$6&gt;=$BF30,AC$6&lt;=$BG30),IF(AND(AC$6&gt;=$BD30,AC$6&lt;=$BE30),"実","外"),IF(AND(AC$6&gt;=$BD30,AC$6&lt;=$BE30),"計",IF(AND(AC$6&gt;=$BH30,AC$6&lt;=$BI30),"遅","")))))</f>
        <v/>
      </c>
      <c r="AD30" s="93" t="str">
        <f>IF($BB30="","",IF(AD$6=$BJ30,"◆",IF(AND(AD$6&gt;=$BF30,AD$6&lt;=$BG30),IF(AND(AD$6&gt;=$BD30,AD$6&lt;=$BE30),"実","外"),IF(AND(AD$6&gt;=$BD30,AD$6&lt;=$BE30),"計",IF(AND(AD$6&gt;=$BH30,AD$6&lt;=$BI30),"遅","")))))</f>
        <v/>
      </c>
      <c r="AE30" s="93" t="str">
        <f>IF($BB30="","",IF(AE$6=$BJ30,"◆",IF(AND(AE$6&gt;=$BF30,AE$6&lt;=$BG30),IF(AND(AE$6&gt;=$BD30,AE$6&lt;=$BE30),"実","外"),IF(AND(AE$6&gt;=$BD30,AE$6&lt;=$BE30),"計",IF(AND(AE$6&gt;=$BH30,AE$6&lt;=$BI30),"遅","")))))</f>
        <v/>
      </c>
      <c r="AF30" s="93" t="str">
        <f>IF($BB30="","",IF(AF$6=$BJ30,"◆",IF(AND(AF$6&gt;=$BF30,AF$6&lt;=$BG30),IF(AND(AF$6&gt;=$BD30,AF$6&lt;=$BE30),"実","外"),IF(AND(AF$6&gt;=$BD30,AF$6&lt;=$BE30),"計",IF(AND(AF$6&gt;=$BH30,AF$6&lt;=$BI30),"遅","")))))</f>
        <v/>
      </c>
      <c r="AG30" s="93" t="str">
        <f>IF($BB30="","",IF(AG$6=$BJ30,"◆",IF(AND(AG$6&gt;=$BF30,AG$6&lt;=$BG30),IF(AND(AG$6&gt;=$BD30,AG$6&lt;=$BE30),"実","外"),IF(AND(AG$6&gt;=$BD30,AG$6&lt;=$BE30),"計",IF(AND(AG$6&gt;=$BH30,AG$6&lt;=$BI30),"遅","")))))</f>
        <v/>
      </c>
      <c r="AH30" s="93" t="str">
        <f>IF($BB30="","",IF(AH$6=$BJ30,"◆",IF(AND(AH$6&gt;=$BF30,AH$6&lt;=$BG30),IF(AND(AH$6&gt;=$BD30,AH$6&lt;=$BE30),"実","外"),IF(AND(AH$6&gt;=$BD30,AH$6&lt;=$BE30),"計",IF(AND(AH$6&gt;=$BH30,AH$6&lt;=$BI30),"遅","")))))</f>
        <v/>
      </c>
      <c r="AI30" s="93" t="str">
        <f>IF($BB30="","",IF(AI$6=$BJ30,"◆",IF(AND(AI$6&gt;=$BF30,AI$6&lt;=$BG30),IF(AND(AI$6&gt;=$BD30,AI$6&lt;=$BE30),"実","外"),IF(AND(AI$6&gt;=$BD30,AI$6&lt;=$BE30),"計",IF(AND(AI$6&gt;=$BH30,AI$6&lt;=$BI30),"遅","")))))</f>
        <v/>
      </c>
      <c r="AJ30" s="93" t="str">
        <f>IF($BB30="","",IF(AJ$6=$BJ30,"◆",IF(AND(AJ$6&gt;=$BF30,AJ$6&lt;=$BG30),IF(AND(AJ$6&gt;=$BD30,AJ$6&lt;=$BE30),"実","外"),IF(AND(AJ$6&gt;=$BD30,AJ$6&lt;=$BE30),"計",IF(AND(AJ$6&gt;=$BH30,AJ$6&lt;=$BI30),"遅","")))))</f>
        <v/>
      </c>
      <c r="AK30" s="93" t="str">
        <f>IF($BB30="","",IF(AK$6=$BJ30,"◆",IF(AND(AK$6&gt;=$BF30,AK$6&lt;=$BG30),IF(AND(AK$6&gt;=$BD30,AK$6&lt;=$BE30),"実","外"),IF(AND(AK$6&gt;=$BD30,AK$6&lt;=$BE30),"計",IF(AND(AK$6&gt;=$BH30,AK$6&lt;=$BI30),"遅","")))))</f>
        <v/>
      </c>
      <c r="AL30" s="93" t="str">
        <f>IF($BB30="","",IF(AL$6=$BJ30,"◆",IF(AND(AL$6&gt;=$BF30,AL$6&lt;=$BG30),IF(AND(AL$6&gt;=$BD30,AL$6&lt;=$BE30),"実","外"),IF(AND(AL$6&gt;=$BD30,AL$6&lt;=$BE30),"計",IF(AND(AL$6&gt;=$BH30,AL$6&lt;=$BI30),"遅","")))))</f>
        <v/>
      </c>
      <c r="AM30" s="93" t="str">
        <f>IF($BB30="","",IF(AM$6=$BJ30,"◆",IF(AND(AM$6&gt;=$BF30,AM$6&lt;=$BG30),IF(AND(AM$6&gt;=$BD30,AM$6&lt;=$BE30),"実","外"),IF(AND(AM$6&gt;=$BD30,AM$6&lt;=$BE30),"計",IF(AND(AM$6&gt;=$BH30,AM$6&lt;=$BI30),"遅","")))))</f>
        <v/>
      </c>
      <c r="AN30" s="93" t="str">
        <f>IF($BB30="","",IF(AN$6=$BJ30,"◆",IF(AND(AN$6&gt;=$BF30,AN$6&lt;=$BG30),IF(AND(AN$6&gt;=$BD30,AN$6&lt;=$BE30),"実","外"),IF(AND(AN$6&gt;=$BD30,AN$6&lt;=$BE30),"計",IF(AND(AN$6&gt;=$BH30,AN$6&lt;=$BI30),"遅","")))))</f>
        <v/>
      </c>
      <c r="AO30" s="93" t="str">
        <f>IF($BB30="","",IF(AO$6=$BJ30,"◆",IF(AND(AO$6&gt;=$BF30,AO$6&lt;=$BG30),IF(AND(AO$6&gt;=$BD30,AO$6&lt;=$BE30),"実","外"),IF(AND(AO$6&gt;=$BD30,AO$6&lt;=$BE30),"計",IF(AND(AO$6&gt;=$BH30,AO$6&lt;=$BI30),"遅","")))))</f>
        <v/>
      </c>
      <c r="AP30" s="93" t="str">
        <f>IF($BB30="","",IF(AP$6=$BJ30,"◆",IF(AND(AP$6&gt;=$BF30,AP$6&lt;=$BG30),IF(AND(AP$6&gt;=$BD30,AP$6&lt;=$BE30),"実","外"),IF(AND(AP$6&gt;=$BD30,AP$6&lt;=$BE30),"計",IF(AND(AP$6&gt;=$BH30,AP$6&lt;=$BI30),"遅","")))))</f>
        <v/>
      </c>
      <c r="AQ30" s="93" t="str">
        <f>IF($BB30="","",IF(AQ$6=$BJ30,"◆",IF(AND(AQ$6&gt;=$BF30,AQ$6&lt;=$BG30),IF(AND(AQ$6&gt;=$BD30,AQ$6&lt;=$BE30),"実","外"),IF(AND(AQ$6&gt;=$BD30,AQ$6&lt;=$BE30),"計",IF(AND(AQ$6&gt;=$BH30,AQ$6&lt;=$BI30),"遅","")))))</f>
        <v/>
      </c>
      <c r="AR30" s="93" t="str">
        <f>IF($BB30="","",IF(AR$6=$BJ30,"◆",IF(AND(AR$6&gt;=$BF30,AR$6&lt;=$BG30),IF(AND(AR$6&gt;=$BD30,AR$6&lt;=$BE30),"実","外"),IF(AND(AR$6&gt;=$BD30,AR$6&lt;=$BE30),"計",IF(AND(AR$6&gt;=$BH30,AR$6&lt;=$BI30),"遅","")))))</f>
        <v/>
      </c>
      <c r="AS30" s="93" t="str">
        <f>IF($BB30="","",IF(AS$6=$BJ30,"◆",IF(AND(AS$6&gt;=$BF30,AS$6&lt;=$BG30),IF(AND(AS$6&gt;=$BD30,AS$6&lt;=$BE30),"実","外"),IF(AND(AS$6&gt;=$BD30,AS$6&lt;=$BE30),"計",IF(AND(AS$6&gt;=$BH30,AS$6&lt;=$BI30),"遅","")))))</f>
        <v/>
      </c>
      <c r="AT30" s="93" t="str">
        <f>IF($BB30="","",IF(AT$6=$BJ30,"◆",IF(AND(AT$6&gt;=$BF30,AT$6&lt;=$BG30),IF(AND(AT$6&gt;=$BD30,AT$6&lt;=$BE30),"実","外"),IF(AND(AT$6&gt;=$BD30,AT$6&lt;=$BE30),"計",IF(AND(AT$6&gt;=$BH30,AT$6&lt;=$BI30),"遅","")))))</f>
        <v/>
      </c>
      <c r="AU30" s="93" t="str">
        <f>IF($BB30="","",IF(AU$6=$BJ30,"◆",IF(AND(AU$6&gt;=$BF30,AU$6&lt;=$BG30),IF(AND(AU$6&gt;=$BD30,AU$6&lt;=$BE30),"実","外"),IF(AND(AU$6&gt;=$BD30,AU$6&lt;=$BE30),"計",IF(AND(AU$6&gt;=$BH30,AU$6&lt;=$BI30),"遅","")))))</f>
        <v/>
      </c>
      <c r="AV30" s="93" t="str">
        <f>IF($BB30="","",IF(AV$6=$BJ30,"◆",IF(AND(AV$6&gt;=$BF30,AV$6&lt;=$BG30),IF(AND(AV$6&gt;=$BD30,AV$6&lt;=$BE30),"実","外"),IF(AND(AV$6&gt;=$BD30,AV$6&lt;=$BE30),"計",IF(AND(AV$6&gt;=$BH30,AV$6&lt;=$BI30),"遅","")))))</f>
        <v/>
      </c>
      <c r="AW30" s="93" t="str">
        <f>IF($BB30="","",IF(AW$6=$BJ30,"◆",IF(AND(AW$6&gt;=$BF30,AW$6&lt;=$BG30),IF(AND(AW$6&gt;=$BD30,AW$6&lt;=$BE30),"実","外"),IF(AND(AW$6&gt;=$BD30,AW$6&lt;=$BE30),"計",IF(AND(AW$6&gt;=$BH30,AW$6&lt;=$BI30),"遅","")))))</f>
        <v/>
      </c>
      <c r="AX30" s="93" t="str">
        <f>IF($BB30="","",IF(AX$6=$BJ30,"◆",IF(AND(AX$6&gt;=$BF30,AX$6&lt;=$BG30),IF(AND(AX$6&gt;=$BD30,AX$6&lt;=$BE30),"実","外"),IF(AND(AX$6&gt;=$BD30,AX$6&lt;=$BE30),"計",IF(AND(AX$6&gt;=$BH30,AX$6&lt;=$BI30),"遅","")))))</f>
        <v/>
      </c>
      <c r="AY30" s="93" t="str">
        <f>IF($BB30="","",IF(AY$6=$BJ30,"◆",IF(AND(AY$6&gt;=$BF30,AY$6&lt;=$BG30),IF(AND(AY$6&gt;=$BD30,AY$6&lt;=$BE30),"実","外"),IF(AND(AY$6&gt;=$BD30,AY$6&lt;=$BE30),"計",IF(AND(AY$6&gt;=$BH30,AY$6&lt;=$BI30),"遅","")))))</f>
        <v/>
      </c>
      <c r="AZ30" s="93" t="str">
        <f>IF($BB30="","",IF(AZ$6=$BJ30,"◆",IF(AND(AZ$6&gt;=$BF30,AZ$6&lt;=$BG30),IF(AND(AZ$6&gt;=$BD30,AZ$6&lt;=$BE30),"実","外"),IF(AND(AZ$6&gt;=$BD30,AZ$6&lt;=$BE30),"計",IF(AND(AZ$6&gt;=$BH30,AZ$6&lt;=$BI30),"遅","")))))</f>
        <v/>
      </c>
      <c r="BB30">
        <f>IF(23&gt;COUNTIF(tblSteps[日別対象],1),"",IFERROR(MATCH(23,tblSteps[日別順位],0),""))</f>
        <v>30</v>
      </c>
      <c r="BC30" t="str">
        <f>IF($BB30="","",INDEX(tblSteps[案件ID],$BB30)&amp;"")</f>
        <v>A0022</v>
      </c>
      <c r="BD30">
        <f>IF($BB30="","",INDEX(tblSteps[計開],$BB30))</f>
        <v>46303</v>
      </c>
      <c r="BE30">
        <f>IF($BB30="","",INDEX(tblSteps[計終],$BB30))</f>
        <v>46303</v>
      </c>
      <c r="BF30">
        <f>IF($BB30="","",INDEX(tblSteps[実開],$BB30))</f>
        <v>1</v>
      </c>
      <c r="BG30">
        <f>IF($BB30="","",INDEX(tblSteps[実終],$BB30))</f>
        <v>0</v>
      </c>
      <c r="BH30">
        <f>IF($BB30="","",INDEX(tblSteps[遅開],$BB30))</f>
        <v>46304</v>
      </c>
      <c r="BI30">
        <f>IF($BB30="","",INDEX(tblSteps[遅終],$BB30))</f>
        <v>0</v>
      </c>
      <c r="BJ30">
        <f>IF($BB30="","",INDEX(tblSteps[納期値],$BB30))</f>
        <v>46346</v>
      </c>
    </row>
    <row r="31" ht="18" customHeight="1">
      <c r="A31" s="89" t="str">
        <f>IF($BB31="","",INDEX(tblSteps[工程ID],$BB31)&amp;"")</f>
        <v/>
      </c>
      <c r="B31" s="88" t="str">
        <f>IF($BB31="","",IF($BC31=$BC30,"",$BC31&amp;" "&amp;INDEX(tblSteps[案件名],$BB31)))</f>
        <v/>
      </c>
      <c r="C31" s="88" t="str">
        <f>IF($BB31="","",INDEX(tblSteps[工程名],$BB31)&amp;"")</f>
        <v/>
      </c>
      <c r="D31" s="89" t="str">
        <f>IF($BB31="","",INDEX(tblSteps[担当],$BB31)&amp;"")</f>
        <v/>
      </c>
      <c r="E31" s="89" t="str">
        <f>IF($BB31="","",INDEX(tblSteps[状態],$BB31)&amp;"")</f>
        <v/>
      </c>
      <c r="F31" s="90" t="str">
        <f>IF($BB31="","",IF(ISNUMBER(INDEX(tblSteps[進捗率],$BB31)),INDEX(tblSteps[進捗率],$BB31),""))</f>
        <v/>
      </c>
      <c r="G31" s="91" t="str">
        <f>IF($BB31="","",IF(ISNUMBER(INDEX(tblSteps[計画開始日],$BB31)),INDEX(tblSteps[計画開始日],$BB31),"未入力"))</f>
        <v/>
      </c>
      <c r="H31" s="91" t="str">
        <f>IF($BB31="","",IF(ISNUMBER(INDEX(tblSteps[計画終了日],$BB31)),INDEX(tblSteps[計画終了日],$BB31),"未入力"))</f>
        <v/>
      </c>
      <c r="I31" s="91" t="str">
        <f>IF($BB31="","",IF(ISNUMBER(INDEX(tblSteps[完了見込日],$BB31)),INDEX(tblSteps[完了見込日],$BB31),""))</f>
        <v/>
      </c>
      <c r="J31" s="92" t="str">
        <f>IF($BB31="","",INDEX(tblSteps[注意短],$BB31)&amp;"")</f>
        <v/>
      </c>
      <c r="K31" s="93" t="str">
        <f>IF($BB31="","",IF(K$6=$BJ31,"◆",IF(AND(K$6&gt;=$BF31,K$6&lt;=$BG31),IF(AND(K$6&gt;=$BD31,K$6&lt;=$BE31),"実","外"),IF(AND(K$6&gt;=$BD31,K$6&lt;=$BE31),"計",IF(AND(K$6&gt;=$BH31,K$6&lt;=$BI31),"遅","")))))</f>
        <v/>
      </c>
      <c r="L31" s="93" t="str">
        <f>IF($BB31="","",IF(L$6=$BJ31,"◆",IF(AND(L$6&gt;=$BF31,L$6&lt;=$BG31),IF(AND(L$6&gt;=$BD31,L$6&lt;=$BE31),"実","外"),IF(AND(L$6&gt;=$BD31,L$6&lt;=$BE31),"計",IF(AND(L$6&gt;=$BH31,L$6&lt;=$BI31),"遅","")))))</f>
        <v/>
      </c>
      <c r="M31" s="93" t="str">
        <f>IF($BB31="","",IF(M$6=$BJ31,"◆",IF(AND(M$6&gt;=$BF31,M$6&lt;=$BG31),IF(AND(M$6&gt;=$BD31,M$6&lt;=$BE31),"実","外"),IF(AND(M$6&gt;=$BD31,M$6&lt;=$BE31),"計",IF(AND(M$6&gt;=$BH31,M$6&lt;=$BI31),"遅","")))))</f>
        <v/>
      </c>
      <c r="N31" s="93" t="str">
        <f>IF($BB31="","",IF(N$6=$BJ31,"◆",IF(AND(N$6&gt;=$BF31,N$6&lt;=$BG31),IF(AND(N$6&gt;=$BD31,N$6&lt;=$BE31),"実","外"),IF(AND(N$6&gt;=$BD31,N$6&lt;=$BE31),"計",IF(AND(N$6&gt;=$BH31,N$6&lt;=$BI31),"遅","")))))</f>
        <v/>
      </c>
      <c r="O31" s="93" t="str">
        <f>IF($BB31="","",IF(O$6=$BJ31,"◆",IF(AND(O$6&gt;=$BF31,O$6&lt;=$BG31),IF(AND(O$6&gt;=$BD31,O$6&lt;=$BE31),"実","外"),IF(AND(O$6&gt;=$BD31,O$6&lt;=$BE31),"計",IF(AND(O$6&gt;=$BH31,O$6&lt;=$BI31),"遅","")))))</f>
        <v/>
      </c>
      <c r="P31" s="93" t="str">
        <f>IF($BB31="","",IF(P$6=$BJ31,"◆",IF(AND(P$6&gt;=$BF31,P$6&lt;=$BG31),IF(AND(P$6&gt;=$BD31,P$6&lt;=$BE31),"実","外"),IF(AND(P$6&gt;=$BD31,P$6&lt;=$BE31),"計",IF(AND(P$6&gt;=$BH31,P$6&lt;=$BI31),"遅","")))))</f>
        <v/>
      </c>
      <c r="Q31" s="93" t="str">
        <f>IF($BB31="","",IF(Q$6=$BJ31,"◆",IF(AND(Q$6&gt;=$BF31,Q$6&lt;=$BG31),IF(AND(Q$6&gt;=$BD31,Q$6&lt;=$BE31),"実","外"),IF(AND(Q$6&gt;=$BD31,Q$6&lt;=$BE31),"計",IF(AND(Q$6&gt;=$BH31,Q$6&lt;=$BI31),"遅","")))))</f>
        <v/>
      </c>
      <c r="R31" s="93" t="str">
        <f>IF($BB31="","",IF(R$6=$BJ31,"◆",IF(AND(R$6&gt;=$BF31,R$6&lt;=$BG31),IF(AND(R$6&gt;=$BD31,R$6&lt;=$BE31),"実","外"),IF(AND(R$6&gt;=$BD31,R$6&lt;=$BE31),"計",IF(AND(R$6&gt;=$BH31,R$6&lt;=$BI31),"遅","")))))</f>
        <v/>
      </c>
      <c r="S31" s="93" t="str">
        <f>IF($BB31="","",IF(S$6=$BJ31,"◆",IF(AND(S$6&gt;=$BF31,S$6&lt;=$BG31),IF(AND(S$6&gt;=$BD31,S$6&lt;=$BE31),"実","外"),IF(AND(S$6&gt;=$BD31,S$6&lt;=$BE31),"計",IF(AND(S$6&gt;=$BH31,S$6&lt;=$BI31),"遅","")))))</f>
        <v/>
      </c>
      <c r="T31" s="93" t="str">
        <f>IF($BB31="","",IF(T$6=$BJ31,"◆",IF(AND(T$6&gt;=$BF31,T$6&lt;=$BG31),IF(AND(T$6&gt;=$BD31,T$6&lt;=$BE31),"実","外"),IF(AND(T$6&gt;=$BD31,T$6&lt;=$BE31),"計",IF(AND(T$6&gt;=$BH31,T$6&lt;=$BI31),"遅","")))))</f>
        <v/>
      </c>
      <c r="U31" s="93" t="str">
        <f>IF($BB31="","",IF(U$6=$BJ31,"◆",IF(AND(U$6&gt;=$BF31,U$6&lt;=$BG31),IF(AND(U$6&gt;=$BD31,U$6&lt;=$BE31),"実","外"),IF(AND(U$6&gt;=$BD31,U$6&lt;=$BE31),"計",IF(AND(U$6&gt;=$BH31,U$6&lt;=$BI31),"遅","")))))</f>
        <v/>
      </c>
      <c r="V31" s="93" t="str">
        <f>IF($BB31="","",IF(V$6=$BJ31,"◆",IF(AND(V$6&gt;=$BF31,V$6&lt;=$BG31),IF(AND(V$6&gt;=$BD31,V$6&lt;=$BE31),"実","外"),IF(AND(V$6&gt;=$BD31,V$6&lt;=$BE31),"計",IF(AND(V$6&gt;=$BH31,V$6&lt;=$BI31),"遅","")))))</f>
        <v/>
      </c>
      <c r="W31" s="93" t="str">
        <f>IF($BB31="","",IF(W$6=$BJ31,"◆",IF(AND(W$6&gt;=$BF31,W$6&lt;=$BG31),IF(AND(W$6&gt;=$BD31,W$6&lt;=$BE31),"実","外"),IF(AND(W$6&gt;=$BD31,W$6&lt;=$BE31),"計",IF(AND(W$6&gt;=$BH31,W$6&lt;=$BI31),"遅","")))))</f>
        <v/>
      </c>
      <c r="X31" s="93" t="str">
        <f>IF($BB31="","",IF(X$6=$BJ31,"◆",IF(AND(X$6&gt;=$BF31,X$6&lt;=$BG31),IF(AND(X$6&gt;=$BD31,X$6&lt;=$BE31),"実","外"),IF(AND(X$6&gt;=$BD31,X$6&lt;=$BE31),"計",IF(AND(X$6&gt;=$BH31,X$6&lt;=$BI31),"遅","")))))</f>
        <v/>
      </c>
      <c r="Y31" s="93" t="str">
        <f>IF($BB31="","",IF(Y$6=$BJ31,"◆",IF(AND(Y$6&gt;=$BF31,Y$6&lt;=$BG31),IF(AND(Y$6&gt;=$BD31,Y$6&lt;=$BE31),"実","外"),IF(AND(Y$6&gt;=$BD31,Y$6&lt;=$BE31),"計",IF(AND(Y$6&gt;=$BH31,Y$6&lt;=$BI31),"遅","")))))</f>
        <v/>
      </c>
      <c r="Z31" s="93" t="str">
        <f>IF($BB31="","",IF(Z$6=$BJ31,"◆",IF(AND(Z$6&gt;=$BF31,Z$6&lt;=$BG31),IF(AND(Z$6&gt;=$BD31,Z$6&lt;=$BE31),"実","外"),IF(AND(Z$6&gt;=$BD31,Z$6&lt;=$BE31),"計",IF(AND(Z$6&gt;=$BH31,Z$6&lt;=$BI31),"遅","")))))</f>
        <v/>
      </c>
      <c r="AA31" s="93" t="str">
        <f>IF($BB31="","",IF(AA$6=$BJ31,"◆",IF(AND(AA$6&gt;=$BF31,AA$6&lt;=$BG31),IF(AND(AA$6&gt;=$BD31,AA$6&lt;=$BE31),"実","外"),IF(AND(AA$6&gt;=$BD31,AA$6&lt;=$BE31),"計",IF(AND(AA$6&gt;=$BH31,AA$6&lt;=$BI31),"遅","")))))</f>
        <v/>
      </c>
      <c r="AB31" s="93" t="str">
        <f>IF($BB31="","",IF(AB$6=$BJ31,"◆",IF(AND(AB$6&gt;=$BF31,AB$6&lt;=$BG31),IF(AND(AB$6&gt;=$BD31,AB$6&lt;=$BE31),"実","外"),IF(AND(AB$6&gt;=$BD31,AB$6&lt;=$BE31),"計",IF(AND(AB$6&gt;=$BH31,AB$6&lt;=$BI31),"遅","")))))</f>
        <v/>
      </c>
      <c r="AC31" s="93" t="str">
        <f>IF($BB31="","",IF(AC$6=$BJ31,"◆",IF(AND(AC$6&gt;=$BF31,AC$6&lt;=$BG31),IF(AND(AC$6&gt;=$BD31,AC$6&lt;=$BE31),"実","外"),IF(AND(AC$6&gt;=$BD31,AC$6&lt;=$BE31),"計",IF(AND(AC$6&gt;=$BH31,AC$6&lt;=$BI31),"遅","")))))</f>
        <v/>
      </c>
      <c r="AD31" s="93" t="str">
        <f>IF($BB31="","",IF(AD$6=$BJ31,"◆",IF(AND(AD$6&gt;=$BF31,AD$6&lt;=$BG31),IF(AND(AD$6&gt;=$BD31,AD$6&lt;=$BE31),"実","外"),IF(AND(AD$6&gt;=$BD31,AD$6&lt;=$BE31),"計",IF(AND(AD$6&gt;=$BH31,AD$6&lt;=$BI31),"遅","")))))</f>
        <v/>
      </c>
      <c r="AE31" s="93" t="str">
        <f>IF($BB31="","",IF(AE$6=$BJ31,"◆",IF(AND(AE$6&gt;=$BF31,AE$6&lt;=$BG31),IF(AND(AE$6&gt;=$BD31,AE$6&lt;=$BE31),"実","外"),IF(AND(AE$6&gt;=$BD31,AE$6&lt;=$BE31),"計",IF(AND(AE$6&gt;=$BH31,AE$6&lt;=$BI31),"遅","")))))</f>
        <v/>
      </c>
      <c r="AF31" s="93" t="str">
        <f>IF($BB31="","",IF(AF$6=$BJ31,"◆",IF(AND(AF$6&gt;=$BF31,AF$6&lt;=$BG31),IF(AND(AF$6&gt;=$BD31,AF$6&lt;=$BE31),"実","外"),IF(AND(AF$6&gt;=$BD31,AF$6&lt;=$BE31),"計",IF(AND(AF$6&gt;=$BH31,AF$6&lt;=$BI31),"遅","")))))</f>
        <v/>
      </c>
      <c r="AG31" s="93" t="str">
        <f>IF($BB31="","",IF(AG$6=$BJ31,"◆",IF(AND(AG$6&gt;=$BF31,AG$6&lt;=$BG31),IF(AND(AG$6&gt;=$BD31,AG$6&lt;=$BE31),"実","外"),IF(AND(AG$6&gt;=$BD31,AG$6&lt;=$BE31),"計",IF(AND(AG$6&gt;=$BH31,AG$6&lt;=$BI31),"遅","")))))</f>
        <v/>
      </c>
      <c r="AH31" s="93" t="str">
        <f>IF($BB31="","",IF(AH$6=$BJ31,"◆",IF(AND(AH$6&gt;=$BF31,AH$6&lt;=$BG31),IF(AND(AH$6&gt;=$BD31,AH$6&lt;=$BE31),"実","外"),IF(AND(AH$6&gt;=$BD31,AH$6&lt;=$BE31),"計",IF(AND(AH$6&gt;=$BH31,AH$6&lt;=$BI31),"遅","")))))</f>
        <v/>
      </c>
      <c r="AI31" s="93" t="str">
        <f>IF($BB31="","",IF(AI$6=$BJ31,"◆",IF(AND(AI$6&gt;=$BF31,AI$6&lt;=$BG31),IF(AND(AI$6&gt;=$BD31,AI$6&lt;=$BE31),"実","外"),IF(AND(AI$6&gt;=$BD31,AI$6&lt;=$BE31),"計",IF(AND(AI$6&gt;=$BH31,AI$6&lt;=$BI31),"遅","")))))</f>
        <v/>
      </c>
      <c r="AJ31" s="93" t="str">
        <f>IF($BB31="","",IF(AJ$6=$BJ31,"◆",IF(AND(AJ$6&gt;=$BF31,AJ$6&lt;=$BG31),IF(AND(AJ$6&gt;=$BD31,AJ$6&lt;=$BE31),"実","外"),IF(AND(AJ$6&gt;=$BD31,AJ$6&lt;=$BE31),"計",IF(AND(AJ$6&gt;=$BH31,AJ$6&lt;=$BI31),"遅","")))))</f>
        <v/>
      </c>
      <c r="AK31" s="93" t="str">
        <f>IF($BB31="","",IF(AK$6=$BJ31,"◆",IF(AND(AK$6&gt;=$BF31,AK$6&lt;=$BG31),IF(AND(AK$6&gt;=$BD31,AK$6&lt;=$BE31),"実","外"),IF(AND(AK$6&gt;=$BD31,AK$6&lt;=$BE31),"計",IF(AND(AK$6&gt;=$BH31,AK$6&lt;=$BI31),"遅","")))))</f>
        <v/>
      </c>
      <c r="AL31" s="93" t="str">
        <f>IF($BB31="","",IF(AL$6=$BJ31,"◆",IF(AND(AL$6&gt;=$BF31,AL$6&lt;=$BG31),IF(AND(AL$6&gt;=$BD31,AL$6&lt;=$BE31),"実","外"),IF(AND(AL$6&gt;=$BD31,AL$6&lt;=$BE31),"計",IF(AND(AL$6&gt;=$BH31,AL$6&lt;=$BI31),"遅","")))))</f>
        <v/>
      </c>
      <c r="AM31" s="93" t="str">
        <f>IF($BB31="","",IF(AM$6=$BJ31,"◆",IF(AND(AM$6&gt;=$BF31,AM$6&lt;=$BG31),IF(AND(AM$6&gt;=$BD31,AM$6&lt;=$BE31),"実","外"),IF(AND(AM$6&gt;=$BD31,AM$6&lt;=$BE31),"計",IF(AND(AM$6&gt;=$BH31,AM$6&lt;=$BI31),"遅","")))))</f>
        <v/>
      </c>
      <c r="AN31" s="93" t="str">
        <f>IF($BB31="","",IF(AN$6=$BJ31,"◆",IF(AND(AN$6&gt;=$BF31,AN$6&lt;=$BG31),IF(AND(AN$6&gt;=$BD31,AN$6&lt;=$BE31),"実","外"),IF(AND(AN$6&gt;=$BD31,AN$6&lt;=$BE31),"計",IF(AND(AN$6&gt;=$BH31,AN$6&lt;=$BI31),"遅","")))))</f>
        <v/>
      </c>
      <c r="AO31" s="93" t="str">
        <f>IF($BB31="","",IF(AO$6=$BJ31,"◆",IF(AND(AO$6&gt;=$BF31,AO$6&lt;=$BG31),IF(AND(AO$6&gt;=$BD31,AO$6&lt;=$BE31),"実","外"),IF(AND(AO$6&gt;=$BD31,AO$6&lt;=$BE31),"計",IF(AND(AO$6&gt;=$BH31,AO$6&lt;=$BI31),"遅","")))))</f>
        <v/>
      </c>
      <c r="AP31" s="93" t="str">
        <f>IF($BB31="","",IF(AP$6=$BJ31,"◆",IF(AND(AP$6&gt;=$BF31,AP$6&lt;=$BG31),IF(AND(AP$6&gt;=$BD31,AP$6&lt;=$BE31),"実","外"),IF(AND(AP$6&gt;=$BD31,AP$6&lt;=$BE31),"計",IF(AND(AP$6&gt;=$BH31,AP$6&lt;=$BI31),"遅","")))))</f>
        <v/>
      </c>
      <c r="AQ31" s="93" t="str">
        <f>IF($BB31="","",IF(AQ$6=$BJ31,"◆",IF(AND(AQ$6&gt;=$BF31,AQ$6&lt;=$BG31),IF(AND(AQ$6&gt;=$BD31,AQ$6&lt;=$BE31),"実","外"),IF(AND(AQ$6&gt;=$BD31,AQ$6&lt;=$BE31),"計",IF(AND(AQ$6&gt;=$BH31,AQ$6&lt;=$BI31),"遅","")))))</f>
        <v/>
      </c>
      <c r="AR31" s="93" t="str">
        <f>IF($BB31="","",IF(AR$6=$BJ31,"◆",IF(AND(AR$6&gt;=$BF31,AR$6&lt;=$BG31),IF(AND(AR$6&gt;=$BD31,AR$6&lt;=$BE31),"実","外"),IF(AND(AR$6&gt;=$BD31,AR$6&lt;=$BE31),"計",IF(AND(AR$6&gt;=$BH31,AR$6&lt;=$BI31),"遅","")))))</f>
        <v/>
      </c>
      <c r="AS31" s="93" t="str">
        <f>IF($BB31="","",IF(AS$6=$BJ31,"◆",IF(AND(AS$6&gt;=$BF31,AS$6&lt;=$BG31),IF(AND(AS$6&gt;=$BD31,AS$6&lt;=$BE31),"実","外"),IF(AND(AS$6&gt;=$BD31,AS$6&lt;=$BE31),"計",IF(AND(AS$6&gt;=$BH31,AS$6&lt;=$BI31),"遅","")))))</f>
        <v/>
      </c>
      <c r="AT31" s="93" t="str">
        <f>IF($BB31="","",IF(AT$6=$BJ31,"◆",IF(AND(AT$6&gt;=$BF31,AT$6&lt;=$BG31),IF(AND(AT$6&gt;=$BD31,AT$6&lt;=$BE31),"実","外"),IF(AND(AT$6&gt;=$BD31,AT$6&lt;=$BE31),"計",IF(AND(AT$6&gt;=$BH31,AT$6&lt;=$BI31),"遅","")))))</f>
        <v/>
      </c>
      <c r="AU31" s="93" t="str">
        <f>IF($BB31="","",IF(AU$6=$BJ31,"◆",IF(AND(AU$6&gt;=$BF31,AU$6&lt;=$BG31),IF(AND(AU$6&gt;=$BD31,AU$6&lt;=$BE31),"実","外"),IF(AND(AU$6&gt;=$BD31,AU$6&lt;=$BE31),"計",IF(AND(AU$6&gt;=$BH31,AU$6&lt;=$BI31),"遅","")))))</f>
        <v/>
      </c>
      <c r="AV31" s="93" t="str">
        <f>IF($BB31="","",IF(AV$6=$BJ31,"◆",IF(AND(AV$6&gt;=$BF31,AV$6&lt;=$BG31),IF(AND(AV$6&gt;=$BD31,AV$6&lt;=$BE31),"実","外"),IF(AND(AV$6&gt;=$BD31,AV$6&lt;=$BE31),"計",IF(AND(AV$6&gt;=$BH31,AV$6&lt;=$BI31),"遅","")))))</f>
        <v/>
      </c>
      <c r="AW31" s="93" t="str">
        <f>IF($BB31="","",IF(AW$6=$BJ31,"◆",IF(AND(AW$6&gt;=$BF31,AW$6&lt;=$BG31),IF(AND(AW$6&gt;=$BD31,AW$6&lt;=$BE31),"実","外"),IF(AND(AW$6&gt;=$BD31,AW$6&lt;=$BE31),"計",IF(AND(AW$6&gt;=$BH31,AW$6&lt;=$BI31),"遅","")))))</f>
        <v/>
      </c>
      <c r="AX31" s="93" t="str">
        <f>IF($BB31="","",IF(AX$6=$BJ31,"◆",IF(AND(AX$6&gt;=$BF31,AX$6&lt;=$BG31),IF(AND(AX$6&gt;=$BD31,AX$6&lt;=$BE31),"実","外"),IF(AND(AX$6&gt;=$BD31,AX$6&lt;=$BE31),"計",IF(AND(AX$6&gt;=$BH31,AX$6&lt;=$BI31),"遅","")))))</f>
        <v/>
      </c>
      <c r="AY31" s="93" t="str">
        <f>IF($BB31="","",IF(AY$6=$BJ31,"◆",IF(AND(AY$6&gt;=$BF31,AY$6&lt;=$BG31),IF(AND(AY$6&gt;=$BD31,AY$6&lt;=$BE31),"実","外"),IF(AND(AY$6&gt;=$BD31,AY$6&lt;=$BE31),"計",IF(AND(AY$6&gt;=$BH31,AY$6&lt;=$BI31),"遅","")))))</f>
        <v/>
      </c>
      <c r="AZ31" s="93" t="str">
        <f>IF($BB31="","",IF(AZ$6=$BJ31,"◆",IF(AND(AZ$6&gt;=$BF31,AZ$6&lt;=$BG31),IF(AND(AZ$6&gt;=$BD31,AZ$6&lt;=$BE31),"実","外"),IF(AND(AZ$6&gt;=$BD31,AZ$6&lt;=$BE31),"計",IF(AND(AZ$6&gt;=$BH31,AZ$6&lt;=$BI31),"遅","")))))</f>
        <v/>
      </c>
      <c r="BB31" t="str">
        <f>IF(24&gt;COUNTIF(tblSteps[日別対象],1),"",IFERROR(MATCH(24,tblSteps[日別順位],0),""))</f>
        <v/>
      </c>
      <c r="BC31" t="str">
        <f>IF($BB31="","",INDEX(tblSteps[案件ID],$BB31)&amp;"")</f>
        <v/>
      </c>
      <c r="BD31" t="str">
        <f>IF($BB31="","",INDEX(tblSteps[計開],$BB31))</f>
        <v/>
      </c>
      <c r="BE31" t="str">
        <f>IF($BB31="","",INDEX(tblSteps[計終],$BB31))</f>
        <v/>
      </c>
      <c r="BF31" t="str">
        <f>IF($BB31="","",INDEX(tblSteps[実開],$BB31))</f>
        <v/>
      </c>
      <c r="BG31" t="str">
        <f>IF($BB31="","",INDEX(tblSteps[実終],$BB31))</f>
        <v/>
      </c>
      <c r="BH31" t="str">
        <f>IF($BB31="","",INDEX(tblSteps[遅開],$BB31))</f>
        <v/>
      </c>
      <c r="BI31" t="str">
        <f>IF($BB31="","",INDEX(tblSteps[遅終],$BB31))</f>
        <v/>
      </c>
      <c r="BJ31" t="str">
        <f>IF($BB31="","",INDEX(tblSteps[納期値],$BB31))</f>
        <v/>
      </c>
    </row>
    <row r="32" ht="18" customHeight="1">
      <c r="A32" s="89" t="str">
        <f>IF($BB32="","",INDEX(tblSteps[工程ID],$BB32)&amp;"")</f>
        <v/>
      </c>
      <c r="B32" s="88" t="str">
        <f>IF($BB32="","",IF($BC32=$BC31,"",$BC32&amp;" "&amp;INDEX(tblSteps[案件名],$BB32)))</f>
        <v/>
      </c>
      <c r="C32" s="88" t="str">
        <f>IF($BB32="","",INDEX(tblSteps[工程名],$BB32)&amp;"")</f>
        <v/>
      </c>
      <c r="D32" s="89" t="str">
        <f>IF($BB32="","",INDEX(tblSteps[担当],$BB32)&amp;"")</f>
        <v/>
      </c>
      <c r="E32" s="89" t="str">
        <f>IF($BB32="","",INDEX(tblSteps[状態],$BB32)&amp;"")</f>
        <v/>
      </c>
      <c r="F32" s="90" t="str">
        <f>IF($BB32="","",IF(ISNUMBER(INDEX(tblSteps[進捗率],$BB32)),INDEX(tblSteps[進捗率],$BB32),""))</f>
        <v/>
      </c>
      <c r="G32" s="91" t="str">
        <f>IF($BB32="","",IF(ISNUMBER(INDEX(tblSteps[計画開始日],$BB32)),INDEX(tblSteps[計画開始日],$BB32),"未入力"))</f>
        <v/>
      </c>
      <c r="H32" s="91" t="str">
        <f>IF($BB32="","",IF(ISNUMBER(INDEX(tblSteps[計画終了日],$BB32)),INDEX(tblSteps[計画終了日],$BB32),"未入力"))</f>
        <v/>
      </c>
      <c r="I32" s="91" t="str">
        <f>IF($BB32="","",IF(ISNUMBER(INDEX(tblSteps[完了見込日],$BB32)),INDEX(tblSteps[完了見込日],$BB32),""))</f>
        <v/>
      </c>
      <c r="J32" s="92" t="str">
        <f>IF($BB32="","",INDEX(tblSteps[注意短],$BB32)&amp;"")</f>
        <v/>
      </c>
      <c r="K32" s="93" t="str">
        <f>IF($BB32="","",IF(K$6=$BJ32,"◆",IF(AND(K$6&gt;=$BF32,K$6&lt;=$BG32),IF(AND(K$6&gt;=$BD32,K$6&lt;=$BE32),"実","外"),IF(AND(K$6&gt;=$BD32,K$6&lt;=$BE32),"計",IF(AND(K$6&gt;=$BH32,K$6&lt;=$BI32),"遅","")))))</f>
        <v/>
      </c>
      <c r="L32" s="93" t="str">
        <f>IF($BB32="","",IF(L$6=$BJ32,"◆",IF(AND(L$6&gt;=$BF32,L$6&lt;=$BG32),IF(AND(L$6&gt;=$BD32,L$6&lt;=$BE32),"実","外"),IF(AND(L$6&gt;=$BD32,L$6&lt;=$BE32),"計",IF(AND(L$6&gt;=$BH32,L$6&lt;=$BI32),"遅","")))))</f>
        <v/>
      </c>
      <c r="M32" s="93" t="str">
        <f>IF($BB32="","",IF(M$6=$BJ32,"◆",IF(AND(M$6&gt;=$BF32,M$6&lt;=$BG32),IF(AND(M$6&gt;=$BD32,M$6&lt;=$BE32),"実","外"),IF(AND(M$6&gt;=$BD32,M$6&lt;=$BE32),"計",IF(AND(M$6&gt;=$BH32,M$6&lt;=$BI32),"遅","")))))</f>
        <v/>
      </c>
      <c r="N32" s="93" t="str">
        <f>IF($BB32="","",IF(N$6=$BJ32,"◆",IF(AND(N$6&gt;=$BF32,N$6&lt;=$BG32),IF(AND(N$6&gt;=$BD32,N$6&lt;=$BE32),"実","外"),IF(AND(N$6&gt;=$BD32,N$6&lt;=$BE32),"計",IF(AND(N$6&gt;=$BH32,N$6&lt;=$BI32),"遅","")))))</f>
        <v/>
      </c>
      <c r="O32" s="93" t="str">
        <f>IF($BB32="","",IF(O$6=$BJ32,"◆",IF(AND(O$6&gt;=$BF32,O$6&lt;=$BG32),IF(AND(O$6&gt;=$BD32,O$6&lt;=$BE32),"実","外"),IF(AND(O$6&gt;=$BD32,O$6&lt;=$BE32),"計",IF(AND(O$6&gt;=$BH32,O$6&lt;=$BI32),"遅","")))))</f>
        <v/>
      </c>
      <c r="P32" s="93" t="str">
        <f>IF($BB32="","",IF(P$6=$BJ32,"◆",IF(AND(P$6&gt;=$BF32,P$6&lt;=$BG32),IF(AND(P$6&gt;=$BD32,P$6&lt;=$BE32),"実","外"),IF(AND(P$6&gt;=$BD32,P$6&lt;=$BE32),"計",IF(AND(P$6&gt;=$BH32,P$6&lt;=$BI32),"遅","")))))</f>
        <v/>
      </c>
      <c r="Q32" s="93" t="str">
        <f>IF($BB32="","",IF(Q$6=$BJ32,"◆",IF(AND(Q$6&gt;=$BF32,Q$6&lt;=$BG32),IF(AND(Q$6&gt;=$BD32,Q$6&lt;=$BE32),"実","外"),IF(AND(Q$6&gt;=$BD32,Q$6&lt;=$BE32),"計",IF(AND(Q$6&gt;=$BH32,Q$6&lt;=$BI32),"遅","")))))</f>
        <v/>
      </c>
      <c r="R32" s="93" t="str">
        <f>IF($BB32="","",IF(R$6=$BJ32,"◆",IF(AND(R$6&gt;=$BF32,R$6&lt;=$BG32),IF(AND(R$6&gt;=$BD32,R$6&lt;=$BE32),"実","外"),IF(AND(R$6&gt;=$BD32,R$6&lt;=$BE32),"計",IF(AND(R$6&gt;=$BH32,R$6&lt;=$BI32),"遅","")))))</f>
        <v/>
      </c>
      <c r="S32" s="93" t="str">
        <f>IF($BB32="","",IF(S$6=$BJ32,"◆",IF(AND(S$6&gt;=$BF32,S$6&lt;=$BG32),IF(AND(S$6&gt;=$BD32,S$6&lt;=$BE32),"実","外"),IF(AND(S$6&gt;=$BD32,S$6&lt;=$BE32),"計",IF(AND(S$6&gt;=$BH32,S$6&lt;=$BI32),"遅","")))))</f>
        <v/>
      </c>
      <c r="T32" s="93" t="str">
        <f>IF($BB32="","",IF(T$6=$BJ32,"◆",IF(AND(T$6&gt;=$BF32,T$6&lt;=$BG32),IF(AND(T$6&gt;=$BD32,T$6&lt;=$BE32),"実","外"),IF(AND(T$6&gt;=$BD32,T$6&lt;=$BE32),"計",IF(AND(T$6&gt;=$BH32,T$6&lt;=$BI32),"遅","")))))</f>
        <v/>
      </c>
      <c r="U32" s="93" t="str">
        <f>IF($BB32="","",IF(U$6=$BJ32,"◆",IF(AND(U$6&gt;=$BF32,U$6&lt;=$BG32),IF(AND(U$6&gt;=$BD32,U$6&lt;=$BE32),"実","外"),IF(AND(U$6&gt;=$BD32,U$6&lt;=$BE32),"計",IF(AND(U$6&gt;=$BH32,U$6&lt;=$BI32),"遅","")))))</f>
        <v/>
      </c>
      <c r="V32" s="93" t="str">
        <f>IF($BB32="","",IF(V$6=$BJ32,"◆",IF(AND(V$6&gt;=$BF32,V$6&lt;=$BG32),IF(AND(V$6&gt;=$BD32,V$6&lt;=$BE32),"実","外"),IF(AND(V$6&gt;=$BD32,V$6&lt;=$BE32),"計",IF(AND(V$6&gt;=$BH32,V$6&lt;=$BI32),"遅","")))))</f>
        <v/>
      </c>
      <c r="W32" s="93" t="str">
        <f>IF($BB32="","",IF(W$6=$BJ32,"◆",IF(AND(W$6&gt;=$BF32,W$6&lt;=$BG32),IF(AND(W$6&gt;=$BD32,W$6&lt;=$BE32),"実","外"),IF(AND(W$6&gt;=$BD32,W$6&lt;=$BE32),"計",IF(AND(W$6&gt;=$BH32,W$6&lt;=$BI32),"遅","")))))</f>
        <v/>
      </c>
      <c r="X32" s="93" t="str">
        <f>IF($BB32="","",IF(X$6=$BJ32,"◆",IF(AND(X$6&gt;=$BF32,X$6&lt;=$BG32),IF(AND(X$6&gt;=$BD32,X$6&lt;=$BE32),"実","外"),IF(AND(X$6&gt;=$BD32,X$6&lt;=$BE32),"計",IF(AND(X$6&gt;=$BH32,X$6&lt;=$BI32),"遅","")))))</f>
        <v/>
      </c>
      <c r="Y32" s="93" t="str">
        <f>IF($BB32="","",IF(Y$6=$BJ32,"◆",IF(AND(Y$6&gt;=$BF32,Y$6&lt;=$BG32),IF(AND(Y$6&gt;=$BD32,Y$6&lt;=$BE32),"実","外"),IF(AND(Y$6&gt;=$BD32,Y$6&lt;=$BE32),"計",IF(AND(Y$6&gt;=$BH32,Y$6&lt;=$BI32),"遅","")))))</f>
        <v/>
      </c>
      <c r="Z32" s="93" t="str">
        <f>IF($BB32="","",IF(Z$6=$BJ32,"◆",IF(AND(Z$6&gt;=$BF32,Z$6&lt;=$BG32),IF(AND(Z$6&gt;=$BD32,Z$6&lt;=$BE32),"実","外"),IF(AND(Z$6&gt;=$BD32,Z$6&lt;=$BE32),"計",IF(AND(Z$6&gt;=$BH32,Z$6&lt;=$BI32),"遅","")))))</f>
        <v/>
      </c>
      <c r="AA32" s="93" t="str">
        <f>IF($BB32="","",IF(AA$6=$BJ32,"◆",IF(AND(AA$6&gt;=$BF32,AA$6&lt;=$BG32),IF(AND(AA$6&gt;=$BD32,AA$6&lt;=$BE32),"実","外"),IF(AND(AA$6&gt;=$BD32,AA$6&lt;=$BE32),"計",IF(AND(AA$6&gt;=$BH32,AA$6&lt;=$BI32),"遅","")))))</f>
        <v/>
      </c>
      <c r="AB32" s="93" t="str">
        <f>IF($BB32="","",IF(AB$6=$BJ32,"◆",IF(AND(AB$6&gt;=$BF32,AB$6&lt;=$BG32),IF(AND(AB$6&gt;=$BD32,AB$6&lt;=$BE32),"実","外"),IF(AND(AB$6&gt;=$BD32,AB$6&lt;=$BE32),"計",IF(AND(AB$6&gt;=$BH32,AB$6&lt;=$BI32),"遅","")))))</f>
        <v/>
      </c>
      <c r="AC32" s="93" t="str">
        <f>IF($BB32="","",IF(AC$6=$BJ32,"◆",IF(AND(AC$6&gt;=$BF32,AC$6&lt;=$BG32),IF(AND(AC$6&gt;=$BD32,AC$6&lt;=$BE32),"実","外"),IF(AND(AC$6&gt;=$BD32,AC$6&lt;=$BE32),"計",IF(AND(AC$6&gt;=$BH32,AC$6&lt;=$BI32),"遅","")))))</f>
        <v/>
      </c>
      <c r="AD32" s="93" t="str">
        <f>IF($BB32="","",IF(AD$6=$BJ32,"◆",IF(AND(AD$6&gt;=$BF32,AD$6&lt;=$BG32),IF(AND(AD$6&gt;=$BD32,AD$6&lt;=$BE32),"実","外"),IF(AND(AD$6&gt;=$BD32,AD$6&lt;=$BE32),"計",IF(AND(AD$6&gt;=$BH32,AD$6&lt;=$BI32),"遅","")))))</f>
        <v/>
      </c>
      <c r="AE32" s="93" t="str">
        <f>IF($BB32="","",IF(AE$6=$BJ32,"◆",IF(AND(AE$6&gt;=$BF32,AE$6&lt;=$BG32),IF(AND(AE$6&gt;=$BD32,AE$6&lt;=$BE32),"実","外"),IF(AND(AE$6&gt;=$BD32,AE$6&lt;=$BE32),"計",IF(AND(AE$6&gt;=$BH32,AE$6&lt;=$BI32),"遅","")))))</f>
        <v/>
      </c>
      <c r="AF32" s="93" t="str">
        <f>IF($BB32="","",IF(AF$6=$BJ32,"◆",IF(AND(AF$6&gt;=$BF32,AF$6&lt;=$BG32),IF(AND(AF$6&gt;=$BD32,AF$6&lt;=$BE32),"実","外"),IF(AND(AF$6&gt;=$BD32,AF$6&lt;=$BE32),"計",IF(AND(AF$6&gt;=$BH32,AF$6&lt;=$BI32),"遅","")))))</f>
        <v/>
      </c>
      <c r="AG32" s="93" t="str">
        <f>IF($BB32="","",IF(AG$6=$BJ32,"◆",IF(AND(AG$6&gt;=$BF32,AG$6&lt;=$BG32),IF(AND(AG$6&gt;=$BD32,AG$6&lt;=$BE32),"実","外"),IF(AND(AG$6&gt;=$BD32,AG$6&lt;=$BE32),"計",IF(AND(AG$6&gt;=$BH32,AG$6&lt;=$BI32),"遅","")))))</f>
        <v/>
      </c>
      <c r="AH32" s="93" t="str">
        <f>IF($BB32="","",IF(AH$6=$BJ32,"◆",IF(AND(AH$6&gt;=$BF32,AH$6&lt;=$BG32),IF(AND(AH$6&gt;=$BD32,AH$6&lt;=$BE32),"実","外"),IF(AND(AH$6&gt;=$BD32,AH$6&lt;=$BE32),"計",IF(AND(AH$6&gt;=$BH32,AH$6&lt;=$BI32),"遅","")))))</f>
        <v/>
      </c>
      <c r="AI32" s="93" t="str">
        <f>IF($BB32="","",IF(AI$6=$BJ32,"◆",IF(AND(AI$6&gt;=$BF32,AI$6&lt;=$BG32),IF(AND(AI$6&gt;=$BD32,AI$6&lt;=$BE32),"実","外"),IF(AND(AI$6&gt;=$BD32,AI$6&lt;=$BE32),"計",IF(AND(AI$6&gt;=$BH32,AI$6&lt;=$BI32),"遅","")))))</f>
        <v/>
      </c>
      <c r="AJ32" s="93" t="str">
        <f>IF($BB32="","",IF(AJ$6=$BJ32,"◆",IF(AND(AJ$6&gt;=$BF32,AJ$6&lt;=$BG32),IF(AND(AJ$6&gt;=$BD32,AJ$6&lt;=$BE32),"実","外"),IF(AND(AJ$6&gt;=$BD32,AJ$6&lt;=$BE32),"計",IF(AND(AJ$6&gt;=$BH32,AJ$6&lt;=$BI32),"遅","")))))</f>
        <v/>
      </c>
      <c r="AK32" s="93" t="str">
        <f>IF($BB32="","",IF(AK$6=$BJ32,"◆",IF(AND(AK$6&gt;=$BF32,AK$6&lt;=$BG32),IF(AND(AK$6&gt;=$BD32,AK$6&lt;=$BE32),"実","外"),IF(AND(AK$6&gt;=$BD32,AK$6&lt;=$BE32),"計",IF(AND(AK$6&gt;=$BH32,AK$6&lt;=$BI32),"遅","")))))</f>
        <v/>
      </c>
      <c r="AL32" s="93" t="str">
        <f>IF($BB32="","",IF(AL$6=$BJ32,"◆",IF(AND(AL$6&gt;=$BF32,AL$6&lt;=$BG32),IF(AND(AL$6&gt;=$BD32,AL$6&lt;=$BE32),"実","外"),IF(AND(AL$6&gt;=$BD32,AL$6&lt;=$BE32),"計",IF(AND(AL$6&gt;=$BH32,AL$6&lt;=$BI32),"遅","")))))</f>
        <v/>
      </c>
      <c r="AM32" s="93" t="str">
        <f>IF($BB32="","",IF(AM$6=$BJ32,"◆",IF(AND(AM$6&gt;=$BF32,AM$6&lt;=$BG32),IF(AND(AM$6&gt;=$BD32,AM$6&lt;=$BE32),"実","外"),IF(AND(AM$6&gt;=$BD32,AM$6&lt;=$BE32),"計",IF(AND(AM$6&gt;=$BH32,AM$6&lt;=$BI32),"遅","")))))</f>
        <v/>
      </c>
      <c r="AN32" s="93" t="str">
        <f>IF($BB32="","",IF(AN$6=$BJ32,"◆",IF(AND(AN$6&gt;=$BF32,AN$6&lt;=$BG32),IF(AND(AN$6&gt;=$BD32,AN$6&lt;=$BE32),"実","外"),IF(AND(AN$6&gt;=$BD32,AN$6&lt;=$BE32),"計",IF(AND(AN$6&gt;=$BH32,AN$6&lt;=$BI32),"遅","")))))</f>
        <v/>
      </c>
      <c r="AO32" s="93" t="str">
        <f>IF($BB32="","",IF(AO$6=$BJ32,"◆",IF(AND(AO$6&gt;=$BF32,AO$6&lt;=$BG32),IF(AND(AO$6&gt;=$BD32,AO$6&lt;=$BE32),"実","外"),IF(AND(AO$6&gt;=$BD32,AO$6&lt;=$BE32),"計",IF(AND(AO$6&gt;=$BH32,AO$6&lt;=$BI32),"遅","")))))</f>
        <v/>
      </c>
      <c r="AP32" s="93" t="str">
        <f>IF($BB32="","",IF(AP$6=$BJ32,"◆",IF(AND(AP$6&gt;=$BF32,AP$6&lt;=$BG32),IF(AND(AP$6&gt;=$BD32,AP$6&lt;=$BE32),"実","外"),IF(AND(AP$6&gt;=$BD32,AP$6&lt;=$BE32),"計",IF(AND(AP$6&gt;=$BH32,AP$6&lt;=$BI32),"遅","")))))</f>
        <v/>
      </c>
      <c r="AQ32" s="93" t="str">
        <f>IF($BB32="","",IF(AQ$6=$BJ32,"◆",IF(AND(AQ$6&gt;=$BF32,AQ$6&lt;=$BG32),IF(AND(AQ$6&gt;=$BD32,AQ$6&lt;=$BE32),"実","外"),IF(AND(AQ$6&gt;=$BD32,AQ$6&lt;=$BE32),"計",IF(AND(AQ$6&gt;=$BH32,AQ$6&lt;=$BI32),"遅","")))))</f>
        <v/>
      </c>
      <c r="AR32" s="93" t="str">
        <f>IF($BB32="","",IF(AR$6=$BJ32,"◆",IF(AND(AR$6&gt;=$BF32,AR$6&lt;=$BG32),IF(AND(AR$6&gt;=$BD32,AR$6&lt;=$BE32),"実","外"),IF(AND(AR$6&gt;=$BD32,AR$6&lt;=$BE32),"計",IF(AND(AR$6&gt;=$BH32,AR$6&lt;=$BI32),"遅","")))))</f>
        <v/>
      </c>
      <c r="AS32" s="93" t="str">
        <f>IF($BB32="","",IF(AS$6=$BJ32,"◆",IF(AND(AS$6&gt;=$BF32,AS$6&lt;=$BG32),IF(AND(AS$6&gt;=$BD32,AS$6&lt;=$BE32),"実","外"),IF(AND(AS$6&gt;=$BD32,AS$6&lt;=$BE32),"計",IF(AND(AS$6&gt;=$BH32,AS$6&lt;=$BI32),"遅","")))))</f>
        <v/>
      </c>
      <c r="AT32" s="93" t="str">
        <f>IF($BB32="","",IF(AT$6=$BJ32,"◆",IF(AND(AT$6&gt;=$BF32,AT$6&lt;=$BG32),IF(AND(AT$6&gt;=$BD32,AT$6&lt;=$BE32),"実","外"),IF(AND(AT$6&gt;=$BD32,AT$6&lt;=$BE32),"計",IF(AND(AT$6&gt;=$BH32,AT$6&lt;=$BI32),"遅","")))))</f>
        <v/>
      </c>
      <c r="AU32" s="93" t="str">
        <f>IF($BB32="","",IF(AU$6=$BJ32,"◆",IF(AND(AU$6&gt;=$BF32,AU$6&lt;=$BG32),IF(AND(AU$6&gt;=$BD32,AU$6&lt;=$BE32),"実","外"),IF(AND(AU$6&gt;=$BD32,AU$6&lt;=$BE32),"計",IF(AND(AU$6&gt;=$BH32,AU$6&lt;=$BI32),"遅","")))))</f>
        <v/>
      </c>
      <c r="AV32" s="93" t="str">
        <f>IF($BB32="","",IF(AV$6=$BJ32,"◆",IF(AND(AV$6&gt;=$BF32,AV$6&lt;=$BG32),IF(AND(AV$6&gt;=$BD32,AV$6&lt;=$BE32),"実","外"),IF(AND(AV$6&gt;=$BD32,AV$6&lt;=$BE32),"計",IF(AND(AV$6&gt;=$BH32,AV$6&lt;=$BI32),"遅","")))))</f>
        <v/>
      </c>
      <c r="AW32" s="93" t="str">
        <f>IF($BB32="","",IF(AW$6=$BJ32,"◆",IF(AND(AW$6&gt;=$BF32,AW$6&lt;=$BG32),IF(AND(AW$6&gt;=$BD32,AW$6&lt;=$BE32),"実","外"),IF(AND(AW$6&gt;=$BD32,AW$6&lt;=$BE32),"計",IF(AND(AW$6&gt;=$BH32,AW$6&lt;=$BI32),"遅","")))))</f>
        <v/>
      </c>
      <c r="AX32" s="93" t="str">
        <f>IF($BB32="","",IF(AX$6=$BJ32,"◆",IF(AND(AX$6&gt;=$BF32,AX$6&lt;=$BG32),IF(AND(AX$6&gt;=$BD32,AX$6&lt;=$BE32),"実","外"),IF(AND(AX$6&gt;=$BD32,AX$6&lt;=$BE32),"計",IF(AND(AX$6&gt;=$BH32,AX$6&lt;=$BI32),"遅","")))))</f>
        <v/>
      </c>
      <c r="AY32" s="93" t="str">
        <f>IF($BB32="","",IF(AY$6=$BJ32,"◆",IF(AND(AY$6&gt;=$BF32,AY$6&lt;=$BG32),IF(AND(AY$6&gt;=$BD32,AY$6&lt;=$BE32),"実","外"),IF(AND(AY$6&gt;=$BD32,AY$6&lt;=$BE32),"計",IF(AND(AY$6&gt;=$BH32,AY$6&lt;=$BI32),"遅","")))))</f>
        <v/>
      </c>
      <c r="AZ32" s="93" t="str">
        <f>IF($BB32="","",IF(AZ$6=$BJ32,"◆",IF(AND(AZ$6&gt;=$BF32,AZ$6&lt;=$BG32),IF(AND(AZ$6&gt;=$BD32,AZ$6&lt;=$BE32),"実","外"),IF(AND(AZ$6&gt;=$BD32,AZ$6&lt;=$BE32),"計",IF(AND(AZ$6&gt;=$BH32,AZ$6&lt;=$BI32),"遅","")))))</f>
        <v/>
      </c>
      <c r="BB32" t="str">
        <f>IF(25&gt;COUNTIF(tblSteps[日別対象],1),"",IFERROR(MATCH(25,tblSteps[日別順位],0),""))</f>
        <v/>
      </c>
      <c r="BC32" t="str">
        <f>IF($BB32="","",INDEX(tblSteps[案件ID],$BB32)&amp;"")</f>
        <v/>
      </c>
      <c r="BD32" t="str">
        <f>IF($BB32="","",INDEX(tblSteps[計開],$BB32))</f>
        <v/>
      </c>
      <c r="BE32" t="str">
        <f>IF($BB32="","",INDEX(tblSteps[計終],$BB32))</f>
        <v/>
      </c>
      <c r="BF32" t="str">
        <f>IF($BB32="","",INDEX(tblSteps[実開],$BB32))</f>
        <v/>
      </c>
      <c r="BG32" t="str">
        <f>IF($BB32="","",INDEX(tblSteps[実終],$BB32))</f>
        <v/>
      </c>
      <c r="BH32" t="str">
        <f>IF($BB32="","",INDEX(tblSteps[遅開],$BB32))</f>
        <v/>
      </c>
      <c r="BI32" t="str">
        <f>IF($BB32="","",INDEX(tblSteps[遅終],$BB32))</f>
        <v/>
      </c>
      <c r="BJ32" t="str">
        <f>IF($BB32="","",INDEX(tblSteps[納期値],$BB32))</f>
        <v/>
      </c>
    </row>
    <row r="33" ht="18" customHeight="1">
      <c r="A33" s="89" t="str">
        <f>IF($BB33="","",INDEX(tblSteps[工程ID],$BB33)&amp;"")</f>
        <v/>
      </c>
      <c r="B33" s="88" t="str">
        <f>IF($BB33="","",IF($BC33=$BC32,"",$BC33&amp;" "&amp;INDEX(tblSteps[案件名],$BB33)))</f>
        <v/>
      </c>
      <c r="C33" s="88" t="str">
        <f>IF($BB33="","",INDEX(tblSteps[工程名],$BB33)&amp;"")</f>
        <v/>
      </c>
      <c r="D33" s="89" t="str">
        <f>IF($BB33="","",INDEX(tblSteps[担当],$BB33)&amp;"")</f>
        <v/>
      </c>
      <c r="E33" s="89" t="str">
        <f>IF($BB33="","",INDEX(tblSteps[状態],$BB33)&amp;"")</f>
        <v/>
      </c>
      <c r="F33" s="90" t="str">
        <f>IF($BB33="","",IF(ISNUMBER(INDEX(tblSteps[進捗率],$BB33)),INDEX(tblSteps[進捗率],$BB33),""))</f>
        <v/>
      </c>
      <c r="G33" s="91" t="str">
        <f>IF($BB33="","",IF(ISNUMBER(INDEX(tblSteps[計画開始日],$BB33)),INDEX(tblSteps[計画開始日],$BB33),"未入力"))</f>
        <v/>
      </c>
      <c r="H33" s="91" t="str">
        <f>IF($BB33="","",IF(ISNUMBER(INDEX(tblSteps[計画終了日],$BB33)),INDEX(tblSteps[計画終了日],$BB33),"未入力"))</f>
        <v/>
      </c>
      <c r="I33" s="91" t="str">
        <f>IF($BB33="","",IF(ISNUMBER(INDEX(tblSteps[完了見込日],$BB33)),INDEX(tblSteps[完了見込日],$BB33),""))</f>
        <v/>
      </c>
      <c r="J33" s="92" t="str">
        <f>IF($BB33="","",INDEX(tblSteps[注意短],$BB33)&amp;"")</f>
        <v/>
      </c>
      <c r="K33" s="93" t="str">
        <f>IF($BB33="","",IF(K$6=$BJ33,"◆",IF(AND(K$6&gt;=$BF33,K$6&lt;=$BG33),IF(AND(K$6&gt;=$BD33,K$6&lt;=$BE33),"実","外"),IF(AND(K$6&gt;=$BD33,K$6&lt;=$BE33),"計",IF(AND(K$6&gt;=$BH33,K$6&lt;=$BI33),"遅","")))))</f>
        <v/>
      </c>
      <c r="L33" s="93" t="str">
        <f>IF($BB33="","",IF(L$6=$BJ33,"◆",IF(AND(L$6&gt;=$BF33,L$6&lt;=$BG33),IF(AND(L$6&gt;=$BD33,L$6&lt;=$BE33),"実","外"),IF(AND(L$6&gt;=$BD33,L$6&lt;=$BE33),"計",IF(AND(L$6&gt;=$BH33,L$6&lt;=$BI33),"遅","")))))</f>
        <v/>
      </c>
      <c r="M33" s="93" t="str">
        <f>IF($BB33="","",IF(M$6=$BJ33,"◆",IF(AND(M$6&gt;=$BF33,M$6&lt;=$BG33),IF(AND(M$6&gt;=$BD33,M$6&lt;=$BE33),"実","外"),IF(AND(M$6&gt;=$BD33,M$6&lt;=$BE33),"計",IF(AND(M$6&gt;=$BH33,M$6&lt;=$BI33),"遅","")))))</f>
        <v/>
      </c>
      <c r="N33" s="93" t="str">
        <f>IF($BB33="","",IF(N$6=$BJ33,"◆",IF(AND(N$6&gt;=$BF33,N$6&lt;=$BG33),IF(AND(N$6&gt;=$BD33,N$6&lt;=$BE33),"実","外"),IF(AND(N$6&gt;=$BD33,N$6&lt;=$BE33),"計",IF(AND(N$6&gt;=$BH33,N$6&lt;=$BI33),"遅","")))))</f>
        <v/>
      </c>
      <c r="O33" s="93" t="str">
        <f>IF($BB33="","",IF(O$6=$BJ33,"◆",IF(AND(O$6&gt;=$BF33,O$6&lt;=$BG33),IF(AND(O$6&gt;=$BD33,O$6&lt;=$BE33),"実","外"),IF(AND(O$6&gt;=$BD33,O$6&lt;=$BE33),"計",IF(AND(O$6&gt;=$BH33,O$6&lt;=$BI33),"遅","")))))</f>
        <v/>
      </c>
      <c r="P33" s="93" t="str">
        <f>IF($BB33="","",IF(P$6=$BJ33,"◆",IF(AND(P$6&gt;=$BF33,P$6&lt;=$BG33),IF(AND(P$6&gt;=$BD33,P$6&lt;=$BE33),"実","外"),IF(AND(P$6&gt;=$BD33,P$6&lt;=$BE33),"計",IF(AND(P$6&gt;=$BH33,P$6&lt;=$BI33),"遅","")))))</f>
        <v/>
      </c>
      <c r="Q33" s="93" t="str">
        <f>IF($BB33="","",IF(Q$6=$BJ33,"◆",IF(AND(Q$6&gt;=$BF33,Q$6&lt;=$BG33),IF(AND(Q$6&gt;=$BD33,Q$6&lt;=$BE33),"実","外"),IF(AND(Q$6&gt;=$BD33,Q$6&lt;=$BE33),"計",IF(AND(Q$6&gt;=$BH33,Q$6&lt;=$BI33),"遅","")))))</f>
        <v/>
      </c>
      <c r="R33" s="93" t="str">
        <f>IF($BB33="","",IF(R$6=$BJ33,"◆",IF(AND(R$6&gt;=$BF33,R$6&lt;=$BG33),IF(AND(R$6&gt;=$BD33,R$6&lt;=$BE33),"実","外"),IF(AND(R$6&gt;=$BD33,R$6&lt;=$BE33),"計",IF(AND(R$6&gt;=$BH33,R$6&lt;=$BI33),"遅","")))))</f>
        <v/>
      </c>
      <c r="S33" s="93" t="str">
        <f>IF($BB33="","",IF(S$6=$BJ33,"◆",IF(AND(S$6&gt;=$BF33,S$6&lt;=$BG33),IF(AND(S$6&gt;=$BD33,S$6&lt;=$BE33),"実","外"),IF(AND(S$6&gt;=$BD33,S$6&lt;=$BE33),"計",IF(AND(S$6&gt;=$BH33,S$6&lt;=$BI33),"遅","")))))</f>
        <v/>
      </c>
      <c r="T33" s="93" t="str">
        <f>IF($BB33="","",IF(T$6=$BJ33,"◆",IF(AND(T$6&gt;=$BF33,T$6&lt;=$BG33),IF(AND(T$6&gt;=$BD33,T$6&lt;=$BE33),"実","外"),IF(AND(T$6&gt;=$BD33,T$6&lt;=$BE33),"計",IF(AND(T$6&gt;=$BH33,T$6&lt;=$BI33),"遅","")))))</f>
        <v/>
      </c>
      <c r="U33" s="93" t="str">
        <f>IF($BB33="","",IF(U$6=$BJ33,"◆",IF(AND(U$6&gt;=$BF33,U$6&lt;=$BG33),IF(AND(U$6&gt;=$BD33,U$6&lt;=$BE33),"実","外"),IF(AND(U$6&gt;=$BD33,U$6&lt;=$BE33),"計",IF(AND(U$6&gt;=$BH33,U$6&lt;=$BI33),"遅","")))))</f>
        <v/>
      </c>
      <c r="V33" s="93" t="str">
        <f>IF($BB33="","",IF(V$6=$BJ33,"◆",IF(AND(V$6&gt;=$BF33,V$6&lt;=$BG33),IF(AND(V$6&gt;=$BD33,V$6&lt;=$BE33),"実","外"),IF(AND(V$6&gt;=$BD33,V$6&lt;=$BE33),"計",IF(AND(V$6&gt;=$BH33,V$6&lt;=$BI33),"遅","")))))</f>
        <v/>
      </c>
      <c r="W33" s="93" t="str">
        <f>IF($BB33="","",IF(W$6=$BJ33,"◆",IF(AND(W$6&gt;=$BF33,W$6&lt;=$BG33),IF(AND(W$6&gt;=$BD33,W$6&lt;=$BE33),"実","外"),IF(AND(W$6&gt;=$BD33,W$6&lt;=$BE33),"計",IF(AND(W$6&gt;=$BH33,W$6&lt;=$BI33),"遅","")))))</f>
        <v/>
      </c>
      <c r="X33" s="93" t="str">
        <f>IF($BB33="","",IF(X$6=$BJ33,"◆",IF(AND(X$6&gt;=$BF33,X$6&lt;=$BG33),IF(AND(X$6&gt;=$BD33,X$6&lt;=$BE33),"実","外"),IF(AND(X$6&gt;=$BD33,X$6&lt;=$BE33),"計",IF(AND(X$6&gt;=$BH33,X$6&lt;=$BI33),"遅","")))))</f>
        <v/>
      </c>
      <c r="Y33" s="93" t="str">
        <f>IF($BB33="","",IF(Y$6=$BJ33,"◆",IF(AND(Y$6&gt;=$BF33,Y$6&lt;=$BG33),IF(AND(Y$6&gt;=$BD33,Y$6&lt;=$BE33),"実","外"),IF(AND(Y$6&gt;=$BD33,Y$6&lt;=$BE33),"計",IF(AND(Y$6&gt;=$BH33,Y$6&lt;=$BI33),"遅","")))))</f>
        <v/>
      </c>
      <c r="Z33" s="93" t="str">
        <f>IF($BB33="","",IF(Z$6=$BJ33,"◆",IF(AND(Z$6&gt;=$BF33,Z$6&lt;=$BG33),IF(AND(Z$6&gt;=$BD33,Z$6&lt;=$BE33),"実","外"),IF(AND(Z$6&gt;=$BD33,Z$6&lt;=$BE33),"計",IF(AND(Z$6&gt;=$BH33,Z$6&lt;=$BI33),"遅","")))))</f>
        <v/>
      </c>
      <c r="AA33" s="93" t="str">
        <f>IF($BB33="","",IF(AA$6=$BJ33,"◆",IF(AND(AA$6&gt;=$BF33,AA$6&lt;=$BG33),IF(AND(AA$6&gt;=$BD33,AA$6&lt;=$BE33),"実","外"),IF(AND(AA$6&gt;=$BD33,AA$6&lt;=$BE33),"計",IF(AND(AA$6&gt;=$BH33,AA$6&lt;=$BI33),"遅","")))))</f>
        <v/>
      </c>
      <c r="AB33" s="93" t="str">
        <f>IF($BB33="","",IF(AB$6=$BJ33,"◆",IF(AND(AB$6&gt;=$BF33,AB$6&lt;=$BG33),IF(AND(AB$6&gt;=$BD33,AB$6&lt;=$BE33),"実","外"),IF(AND(AB$6&gt;=$BD33,AB$6&lt;=$BE33),"計",IF(AND(AB$6&gt;=$BH33,AB$6&lt;=$BI33),"遅","")))))</f>
        <v/>
      </c>
      <c r="AC33" s="93" t="str">
        <f>IF($BB33="","",IF(AC$6=$BJ33,"◆",IF(AND(AC$6&gt;=$BF33,AC$6&lt;=$BG33),IF(AND(AC$6&gt;=$BD33,AC$6&lt;=$BE33),"実","外"),IF(AND(AC$6&gt;=$BD33,AC$6&lt;=$BE33),"計",IF(AND(AC$6&gt;=$BH33,AC$6&lt;=$BI33),"遅","")))))</f>
        <v/>
      </c>
      <c r="AD33" s="93" t="str">
        <f>IF($BB33="","",IF(AD$6=$BJ33,"◆",IF(AND(AD$6&gt;=$BF33,AD$6&lt;=$BG33),IF(AND(AD$6&gt;=$BD33,AD$6&lt;=$BE33),"実","外"),IF(AND(AD$6&gt;=$BD33,AD$6&lt;=$BE33),"計",IF(AND(AD$6&gt;=$BH33,AD$6&lt;=$BI33),"遅","")))))</f>
        <v/>
      </c>
      <c r="AE33" s="93" t="str">
        <f>IF($BB33="","",IF(AE$6=$BJ33,"◆",IF(AND(AE$6&gt;=$BF33,AE$6&lt;=$BG33),IF(AND(AE$6&gt;=$BD33,AE$6&lt;=$BE33),"実","外"),IF(AND(AE$6&gt;=$BD33,AE$6&lt;=$BE33),"計",IF(AND(AE$6&gt;=$BH33,AE$6&lt;=$BI33),"遅","")))))</f>
        <v/>
      </c>
      <c r="AF33" s="93" t="str">
        <f>IF($BB33="","",IF(AF$6=$BJ33,"◆",IF(AND(AF$6&gt;=$BF33,AF$6&lt;=$BG33),IF(AND(AF$6&gt;=$BD33,AF$6&lt;=$BE33),"実","外"),IF(AND(AF$6&gt;=$BD33,AF$6&lt;=$BE33),"計",IF(AND(AF$6&gt;=$BH33,AF$6&lt;=$BI33),"遅","")))))</f>
        <v/>
      </c>
      <c r="AG33" s="93" t="str">
        <f>IF($BB33="","",IF(AG$6=$BJ33,"◆",IF(AND(AG$6&gt;=$BF33,AG$6&lt;=$BG33),IF(AND(AG$6&gt;=$BD33,AG$6&lt;=$BE33),"実","外"),IF(AND(AG$6&gt;=$BD33,AG$6&lt;=$BE33),"計",IF(AND(AG$6&gt;=$BH33,AG$6&lt;=$BI33),"遅","")))))</f>
        <v/>
      </c>
      <c r="AH33" s="93" t="str">
        <f>IF($BB33="","",IF(AH$6=$BJ33,"◆",IF(AND(AH$6&gt;=$BF33,AH$6&lt;=$BG33),IF(AND(AH$6&gt;=$BD33,AH$6&lt;=$BE33),"実","外"),IF(AND(AH$6&gt;=$BD33,AH$6&lt;=$BE33),"計",IF(AND(AH$6&gt;=$BH33,AH$6&lt;=$BI33),"遅","")))))</f>
        <v/>
      </c>
      <c r="AI33" s="93" t="str">
        <f>IF($BB33="","",IF(AI$6=$BJ33,"◆",IF(AND(AI$6&gt;=$BF33,AI$6&lt;=$BG33),IF(AND(AI$6&gt;=$BD33,AI$6&lt;=$BE33),"実","外"),IF(AND(AI$6&gt;=$BD33,AI$6&lt;=$BE33),"計",IF(AND(AI$6&gt;=$BH33,AI$6&lt;=$BI33),"遅","")))))</f>
        <v/>
      </c>
      <c r="AJ33" s="93" t="str">
        <f>IF($BB33="","",IF(AJ$6=$BJ33,"◆",IF(AND(AJ$6&gt;=$BF33,AJ$6&lt;=$BG33),IF(AND(AJ$6&gt;=$BD33,AJ$6&lt;=$BE33),"実","外"),IF(AND(AJ$6&gt;=$BD33,AJ$6&lt;=$BE33),"計",IF(AND(AJ$6&gt;=$BH33,AJ$6&lt;=$BI33),"遅","")))))</f>
        <v/>
      </c>
      <c r="AK33" s="93" t="str">
        <f>IF($BB33="","",IF(AK$6=$BJ33,"◆",IF(AND(AK$6&gt;=$BF33,AK$6&lt;=$BG33),IF(AND(AK$6&gt;=$BD33,AK$6&lt;=$BE33),"実","外"),IF(AND(AK$6&gt;=$BD33,AK$6&lt;=$BE33),"計",IF(AND(AK$6&gt;=$BH33,AK$6&lt;=$BI33),"遅","")))))</f>
        <v/>
      </c>
      <c r="AL33" s="93" t="str">
        <f>IF($BB33="","",IF(AL$6=$BJ33,"◆",IF(AND(AL$6&gt;=$BF33,AL$6&lt;=$BG33),IF(AND(AL$6&gt;=$BD33,AL$6&lt;=$BE33),"実","外"),IF(AND(AL$6&gt;=$BD33,AL$6&lt;=$BE33),"計",IF(AND(AL$6&gt;=$BH33,AL$6&lt;=$BI33),"遅","")))))</f>
        <v/>
      </c>
      <c r="AM33" s="93" t="str">
        <f>IF($BB33="","",IF(AM$6=$BJ33,"◆",IF(AND(AM$6&gt;=$BF33,AM$6&lt;=$BG33),IF(AND(AM$6&gt;=$BD33,AM$6&lt;=$BE33),"実","外"),IF(AND(AM$6&gt;=$BD33,AM$6&lt;=$BE33),"計",IF(AND(AM$6&gt;=$BH33,AM$6&lt;=$BI33),"遅","")))))</f>
        <v/>
      </c>
      <c r="AN33" s="93" t="str">
        <f>IF($BB33="","",IF(AN$6=$BJ33,"◆",IF(AND(AN$6&gt;=$BF33,AN$6&lt;=$BG33),IF(AND(AN$6&gt;=$BD33,AN$6&lt;=$BE33),"実","外"),IF(AND(AN$6&gt;=$BD33,AN$6&lt;=$BE33),"計",IF(AND(AN$6&gt;=$BH33,AN$6&lt;=$BI33),"遅","")))))</f>
        <v/>
      </c>
      <c r="AO33" s="93" t="str">
        <f>IF($BB33="","",IF(AO$6=$BJ33,"◆",IF(AND(AO$6&gt;=$BF33,AO$6&lt;=$BG33),IF(AND(AO$6&gt;=$BD33,AO$6&lt;=$BE33),"実","外"),IF(AND(AO$6&gt;=$BD33,AO$6&lt;=$BE33),"計",IF(AND(AO$6&gt;=$BH33,AO$6&lt;=$BI33),"遅","")))))</f>
        <v/>
      </c>
      <c r="AP33" s="93" t="str">
        <f>IF($BB33="","",IF(AP$6=$BJ33,"◆",IF(AND(AP$6&gt;=$BF33,AP$6&lt;=$BG33),IF(AND(AP$6&gt;=$BD33,AP$6&lt;=$BE33),"実","外"),IF(AND(AP$6&gt;=$BD33,AP$6&lt;=$BE33),"計",IF(AND(AP$6&gt;=$BH33,AP$6&lt;=$BI33),"遅","")))))</f>
        <v/>
      </c>
      <c r="AQ33" s="93" t="str">
        <f>IF($BB33="","",IF(AQ$6=$BJ33,"◆",IF(AND(AQ$6&gt;=$BF33,AQ$6&lt;=$BG33),IF(AND(AQ$6&gt;=$BD33,AQ$6&lt;=$BE33),"実","外"),IF(AND(AQ$6&gt;=$BD33,AQ$6&lt;=$BE33),"計",IF(AND(AQ$6&gt;=$BH33,AQ$6&lt;=$BI33),"遅","")))))</f>
        <v/>
      </c>
      <c r="AR33" s="93" t="str">
        <f>IF($BB33="","",IF(AR$6=$BJ33,"◆",IF(AND(AR$6&gt;=$BF33,AR$6&lt;=$BG33),IF(AND(AR$6&gt;=$BD33,AR$6&lt;=$BE33),"実","外"),IF(AND(AR$6&gt;=$BD33,AR$6&lt;=$BE33),"計",IF(AND(AR$6&gt;=$BH33,AR$6&lt;=$BI33),"遅","")))))</f>
        <v/>
      </c>
      <c r="AS33" s="93" t="str">
        <f>IF($BB33="","",IF(AS$6=$BJ33,"◆",IF(AND(AS$6&gt;=$BF33,AS$6&lt;=$BG33),IF(AND(AS$6&gt;=$BD33,AS$6&lt;=$BE33),"実","外"),IF(AND(AS$6&gt;=$BD33,AS$6&lt;=$BE33),"計",IF(AND(AS$6&gt;=$BH33,AS$6&lt;=$BI33),"遅","")))))</f>
        <v/>
      </c>
      <c r="AT33" s="93" t="str">
        <f>IF($BB33="","",IF(AT$6=$BJ33,"◆",IF(AND(AT$6&gt;=$BF33,AT$6&lt;=$BG33),IF(AND(AT$6&gt;=$BD33,AT$6&lt;=$BE33),"実","外"),IF(AND(AT$6&gt;=$BD33,AT$6&lt;=$BE33),"計",IF(AND(AT$6&gt;=$BH33,AT$6&lt;=$BI33),"遅","")))))</f>
        <v/>
      </c>
      <c r="AU33" s="93" t="str">
        <f>IF($BB33="","",IF(AU$6=$BJ33,"◆",IF(AND(AU$6&gt;=$BF33,AU$6&lt;=$BG33),IF(AND(AU$6&gt;=$BD33,AU$6&lt;=$BE33),"実","外"),IF(AND(AU$6&gt;=$BD33,AU$6&lt;=$BE33),"計",IF(AND(AU$6&gt;=$BH33,AU$6&lt;=$BI33),"遅","")))))</f>
        <v/>
      </c>
      <c r="AV33" s="93" t="str">
        <f>IF($BB33="","",IF(AV$6=$BJ33,"◆",IF(AND(AV$6&gt;=$BF33,AV$6&lt;=$BG33),IF(AND(AV$6&gt;=$BD33,AV$6&lt;=$BE33),"実","外"),IF(AND(AV$6&gt;=$BD33,AV$6&lt;=$BE33),"計",IF(AND(AV$6&gt;=$BH33,AV$6&lt;=$BI33),"遅","")))))</f>
        <v/>
      </c>
      <c r="AW33" s="93" t="str">
        <f>IF($BB33="","",IF(AW$6=$BJ33,"◆",IF(AND(AW$6&gt;=$BF33,AW$6&lt;=$BG33),IF(AND(AW$6&gt;=$BD33,AW$6&lt;=$BE33),"実","外"),IF(AND(AW$6&gt;=$BD33,AW$6&lt;=$BE33),"計",IF(AND(AW$6&gt;=$BH33,AW$6&lt;=$BI33),"遅","")))))</f>
        <v/>
      </c>
      <c r="AX33" s="93" t="str">
        <f>IF($BB33="","",IF(AX$6=$BJ33,"◆",IF(AND(AX$6&gt;=$BF33,AX$6&lt;=$BG33),IF(AND(AX$6&gt;=$BD33,AX$6&lt;=$BE33),"実","外"),IF(AND(AX$6&gt;=$BD33,AX$6&lt;=$BE33),"計",IF(AND(AX$6&gt;=$BH33,AX$6&lt;=$BI33),"遅","")))))</f>
        <v/>
      </c>
      <c r="AY33" s="93" t="str">
        <f>IF($BB33="","",IF(AY$6=$BJ33,"◆",IF(AND(AY$6&gt;=$BF33,AY$6&lt;=$BG33),IF(AND(AY$6&gt;=$BD33,AY$6&lt;=$BE33),"実","外"),IF(AND(AY$6&gt;=$BD33,AY$6&lt;=$BE33),"計",IF(AND(AY$6&gt;=$BH33,AY$6&lt;=$BI33),"遅","")))))</f>
        <v/>
      </c>
      <c r="AZ33" s="93" t="str">
        <f>IF($BB33="","",IF(AZ$6=$BJ33,"◆",IF(AND(AZ$6&gt;=$BF33,AZ$6&lt;=$BG33),IF(AND(AZ$6&gt;=$BD33,AZ$6&lt;=$BE33),"実","外"),IF(AND(AZ$6&gt;=$BD33,AZ$6&lt;=$BE33),"計",IF(AND(AZ$6&gt;=$BH33,AZ$6&lt;=$BI33),"遅","")))))</f>
        <v/>
      </c>
      <c r="BB33" t="str">
        <f>IF(26&gt;COUNTIF(tblSteps[日別対象],1),"",IFERROR(MATCH(26,tblSteps[日別順位],0),""))</f>
        <v/>
      </c>
      <c r="BC33" t="str">
        <f>IF($BB33="","",INDEX(tblSteps[案件ID],$BB33)&amp;"")</f>
        <v/>
      </c>
      <c r="BD33" t="str">
        <f>IF($BB33="","",INDEX(tblSteps[計開],$BB33))</f>
        <v/>
      </c>
      <c r="BE33" t="str">
        <f>IF($BB33="","",INDEX(tblSteps[計終],$BB33))</f>
        <v/>
      </c>
      <c r="BF33" t="str">
        <f>IF($BB33="","",INDEX(tblSteps[実開],$BB33))</f>
        <v/>
      </c>
      <c r="BG33" t="str">
        <f>IF($BB33="","",INDEX(tblSteps[実終],$BB33))</f>
        <v/>
      </c>
      <c r="BH33" t="str">
        <f>IF($BB33="","",INDEX(tblSteps[遅開],$BB33))</f>
        <v/>
      </c>
      <c r="BI33" t="str">
        <f>IF($BB33="","",INDEX(tblSteps[遅終],$BB33))</f>
        <v/>
      </c>
      <c r="BJ33" t="str">
        <f>IF($BB33="","",INDEX(tblSteps[納期値],$BB33))</f>
        <v/>
      </c>
    </row>
    <row r="34" ht="18" customHeight="1">
      <c r="A34" s="89" t="str">
        <f>IF($BB34="","",INDEX(tblSteps[工程ID],$BB34)&amp;"")</f>
        <v/>
      </c>
      <c r="B34" s="88" t="str">
        <f>IF($BB34="","",IF($BC34=$BC33,"",$BC34&amp;" "&amp;INDEX(tblSteps[案件名],$BB34)))</f>
        <v/>
      </c>
      <c r="C34" s="88" t="str">
        <f>IF($BB34="","",INDEX(tblSteps[工程名],$BB34)&amp;"")</f>
        <v/>
      </c>
      <c r="D34" s="89" t="str">
        <f>IF($BB34="","",INDEX(tblSteps[担当],$BB34)&amp;"")</f>
        <v/>
      </c>
      <c r="E34" s="89" t="str">
        <f>IF($BB34="","",INDEX(tblSteps[状態],$BB34)&amp;"")</f>
        <v/>
      </c>
      <c r="F34" s="90" t="str">
        <f>IF($BB34="","",IF(ISNUMBER(INDEX(tblSteps[進捗率],$BB34)),INDEX(tblSteps[進捗率],$BB34),""))</f>
        <v/>
      </c>
      <c r="G34" s="91" t="str">
        <f>IF($BB34="","",IF(ISNUMBER(INDEX(tblSteps[計画開始日],$BB34)),INDEX(tblSteps[計画開始日],$BB34),"未入力"))</f>
        <v/>
      </c>
      <c r="H34" s="91" t="str">
        <f>IF($BB34="","",IF(ISNUMBER(INDEX(tblSteps[計画終了日],$BB34)),INDEX(tblSteps[計画終了日],$BB34),"未入力"))</f>
        <v/>
      </c>
      <c r="I34" s="91" t="str">
        <f>IF($BB34="","",IF(ISNUMBER(INDEX(tblSteps[完了見込日],$BB34)),INDEX(tblSteps[完了見込日],$BB34),""))</f>
        <v/>
      </c>
      <c r="J34" s="92" t="str">
        <f>IF($BB34="","",INDEX(tblSteps[注意短],$BB34)&amp;"")</f>
        <v/>
      </c>
      <c r="K34" s="93" t="str">
        <f>IF($BB34="","",IF(K$6=$BJ34,"◆",IF(AND(K$6&gt;=$BF34,K$6&lt;=$BG34),IF(AND(K$6&gt;=$BD34,K$6&lt;=$BE34),"実","外"),IF(AND(K$6&gt;=$BD34,K$6&lt;=$BE34),"計",IF(AND(K$6&gt;=$BH34,K$6&lt;=$BI34),"遅","")))))</f>
        <v/>
      </c>
      <c r="L34" s="93" t="str">
        <f>IF($BB34="","",IF(L$6=$BJ34,"◆",IF(AND(L$6&gt;=$BF34,L$6&lt;=$BG34),IF(AND(L$6&gt;=$BD34,L$6&lt;=$BE34),"実","外"),IF(AND(L$6&gt;=$BD34,L$6&lt;=$BE34),"計",IF(AND(L$6&gt;=$BH34,L$6&lt;=$BI34),"遅","")))))</f>
        <v/>
      </c>
      <c r="M34" s="93" t="str">
        <f>IF($BB34="","",IF(M$6=$BJ34,"◆",IF(AND(M$6&gt;=$BF34,M$6&lt;=$BG34),IF(AND(M$6&gt;=$BD34,M$6&lt;=$BE34),"実","外"),IF(AND(M$6&gt;=$BD34,M$6&lt;=$BE34),"計",IF(AND(M$6&gt;=$BH34,M$6&lt;=$BI34),"遅","")))))</f>
        <v/>
      </c>
      <c r="N34" s="93" t="str">
        <f>IF($BB34="","",IF(N$6=$BJ34,"◆",IF(AND(N$6&gt;=$BF34,N$6&lt;=$BG34),IF(AND(N$6&gt;=$BD34,N$6&lt;=$BE34),"実","外"),IF(AND(N$6&gt;=$BD34,N$6&lt;=$BE34),"計",IF(AND(N$6&gt;=$BH34,N$6&lt;=$BI34),"遅","")))))</f>
        <v/>
      </c>
      <c r="O34" s="93" t="str">
        <f>IF($BB34="","",IF(O$6=$BJ34,"◆",IF(AND(O$6&gt;=$BF34,O$6&lt;=$BG34),IF(AND(O$6&gt;=$BD34,O$6&lt;=$BE34),"実","外"),IF(AND(O$6&gt;=$BD34,O$6&lt;=$BE34),"計",IF(AND(O$6&gt;=$BH34,O$6&lt;=$BI34),"遅","")))))</f>
        <v/>
      </c>
      <c r="P34" s="93" t="str">
        <f>IF($BB34="","",IF(P$6=$BJ34,"◆",IF(AND(P$6&gt;=$BF34,P$6&lt;=$BG34),IF(AND(P$6&gt;=$BD34,P$6&lt;=$BE34),"実","外"),IF(AND(P$6&gt;=$BD34,P$6&lt;=$BE34),"計",IF(AND(P$6&gt;=$BH34,P$6&lt;=$BI34),"遅","")))))</f>
        <v/>
      </c>
      <c r="Q34" s="93" t="str">
        <f>IF($BB34="","",IF(Q$6=$BJ34,"◆",IF(AND(Q$6&gt;=$BF34,Q$6&lt;=$BG34),IF(AND(Q$6&gt;=$BD34,Q$6&lt;=$BE34),"実","外"),IF(AND(Q$6&gt;=$BD34,Q$6&lt;=$BE34),"計",IF(AND(Q$6&gt;=$BH34,Q$6&lt;=$BI34),"遅","")))))</f>
        <v/>
      </c>
      <c r="R34" s="93" t="str">
        <f>IF($BB34="","",IF(R$6=$BJ34,"◆",IF(AND(R$6&gt;=$BF34,R$6&lt;=$BG34),IF(AND(R$6&gt;=$BD34,R$6&lt;=$BE34),"実","外"),IF(AND(R$6&gt;=$BD34,R$6&lt;=$BE34),"計",IF(AND(R$6&gt;=$BH34,R$6&lt;=$BI34),"遅","")))))</f>
        <v/>
      </c>
      <c r="S34" s="93" t="str">
        <f>IF($BB34="","",IF(S$6=$BJ34,"◆",IF(AND(S$6&gt;=$BF34,S$6&lt;=$BG34),IF(AND(S$6&gt;=$BD34,S$6&lt;=$BE34),"実","外"),IF(AND(S$6&gt;=$BD34,S$6&lt;=$BE34),"計",IF(AND(S$6&gt;=$BH34,S$6&lt;=$BI34),"遅","")))))</f>
        <v/>
      </c>
      <c r="T34" s="93" t="str">
        <f>IF($BB34="","",IF(T$6=$BJ34,"◆",IF(AND(T$6&gt;=$BF34,T$6&lt;=$BG34),IF(AND(T$6&gt;=$BD34,T$6&lt;=$BE34),"実","外"),IF(AND(T$6&gt;=$BD34,T$6&lt;=$BE34),"計",IF(AND(T$6&gt;=$BH34,T$6&lt;=$BI34),"遅","")))))</f>
        <v/>
      </c>
      <c r="U34" s="93" t="str">
        <f>IF($BB34="","",IF(U$6=$BJ34,"◆",IF(AND(U$6&gt;=$BF34,U$6&lt;=$BG34),IF(AND(U$6&gt;=$BD34,U$6&lt;=$BE34),"実","外"),IF(AND(U$6&gt;=$BD34,U$6&lt;=$BE34),"計",IF(AND(U$6&gt;=$BH34,U$6&lt;=$BI34),"遅","")))))</f>
        <v/>
      </c>
      <c r="V34" s="93" t="str">
        <f>IF($BB34="","",IF(V$6=$BJ34,"◆",IF(AND(V$6&gt;=$BF34,V$6&lt;=$BG34),IF(AND(V$6&gt;=$BD34,V$6&lt;=$BE34),"実","外"),IF(AND(V$6&gt;=$BD34,V$6&lt;=$BE34),"計",IF(AND(V$6&gt;=$BH34,V$6&lt;=$BI34),"遅","")))))</f>
        <v/>
      </c>
      <c r="W34" s="93" t="str">
        <f>IF($BB34="","",IF(W$6=$BJ34,"◆",IF(AND(W$6&gt;=$BF34,W$6&lt;=$BG34),IF(AND(W$6&gt;=$BD34,W$6&lt;=$BE34),"実","外"),IF(AND(W$6&gt;=$BD34,W$6&lt;=$BE34),"計",IF(AND(W$6&gt;=$BH34,W$6&lt;=$BI34),"遅","")))))</f>
        <v/>
      </c>
      <c r="X34" s="93" t="str">
        <f>IF($BB34="","",IF(X$6=$BJ34,"◆",IF(AND(X$6&gt;=$BF34,X$6&lt;=$BG34),IF(AND(X$6&gt;=$BD34,X$6&lt;=$BE34),"実","外"),IF(AND(X$6&gt;=$BD34,X$6&lt;=$BE34),"計",IF(AND(X$6&gt;=$BH34,X$6&lt;=$BI34),"遅","")))))</f>
        <v/>
      </c>
      <c r="Y34" s="93" t="str">
        <f>IF($BB34="","",IF(Y$6=$BJ34,"◆",IF(AND(Y$6&gt;=$BF34,Y$6&lt;=$BG34),IF(AND(Y$6&gt;=$BD34,Y$6&lt;=$BE34),"実","外"),IF(AND(Y$6&gt;=$BD34,Y$6&lt;=$BE34),"計",IF(AND(Y$6&gt;=$BH34,Y$6&lt;=$BI34),"遅","")))))</f>
        <v/>
      </c>
      <c r="Z34" s="93" t="str">
        <f>IF($BB34="","",IF(Z$6=$BJ34,"◆",IF(AND(Z$6&gt;=$BF34,Z$6&lt;=$BG34),IF(AND(Z$6&gt;=$BD34,Z$6&lt;=$BE34),"実","外"),IF(AND(Z$6&gt;=$BD34,Z$6&lt;=$BE34),"計",IF(AND(Z$6&gt;=$BH34,Z$6&lt;=$BI34),"遅","")))))</f>
        <v/>
      </c>
      <c r="AA34" s="93" t="str">
        <f>IF($BB34="","",IF(AA$6=$BJ34,"◆",IF(AND(AA$6&gt;=$BF34,AA$6&lt;=$BG34),IF(AND(AA$6&gt;=$BD34,AA$6&lt;=$BE34),"実","外"),IF(AND(AA$6&gt;=$BD34,AA$6&lt;=$BE34),"計",IF(AND(AA$6&gt;=$BH34,AA$6&lt;=$BI34),"遅","")))))</f>
        <v/>
      </c>
      <c r="AB34" s="93" t="str">
        <f>IF($BB34="","",IF(AB$6=$BJ34,"◆",IF(AND(AB$6&gt;=$BF34,AB$6&lt;=$BG34),IF(AND(AB$6&gt;=$BD34,AB$6&lt;=$BE34),"実","外"),IF(AND(AB$6&gt;=$BD34,AB$6&lt;=$BE34),"計",IF(AND(AB$6&gt;=$BH34,AB$6&lt;=$BI34),"遅","")))))</f>
        <v/>
      </c>
      <c r="AC34" s="93" t="str">
        <f>IF($BB34="","",IF(AC$6=$BJ34,"◆",IF(AND(AC$6&gt;=$BF34,AC$6&lt;=$BG34),IF(AND(AC$6&gt;=$BD34,AC$6&lt;=$BE34),"実","外"),IF(AND(AC$6&gt;=$BD34,AC$6&lt;=$BE34),"計",IF(AND(AC$6&gt;=$BH34,AC$6&lt;=$BI34),"遅","")))))</f>
        <v/>
      </c>
      <c r="AD34" s="93" t="str">
        <f>IF($BB34="","",IF(AD$6=$BJ34,"◆",IF(AND(AD$6&gt;=$BF34,AD$6&lt;=$BG34),IF(AND(AD$6&gt;=$BD34,AD$6&lt;=$BE34),"実","外"),IF(AND(AD$6&gt;=$BD34,AD$6&lt;=$BE34),"計",IF(AND(AD$6&gt;=$BH34,AD$6&lt;=$BI34),"遅","")))))</f>
        <v/>
      </c>
      <c r="AE34" s="93" t="str">
        <f>IF($BB34="","",IF(AE$6=$BJ34,"◆",IF(AND(AE$6&gt;=$BF34,AE$6&lt;=$BG34),IF(AND(AE$6&gt;=$BD34,AE$6&lt;=$BE34),"実","外"),IF(AND(AE$6&gt;=$BD34,AE$6&lt;=$BE34),"計",IF(AND(AE$6&gt;=$BH34,AE$6&lt;=$BI34),"遅","")))))</f>
        <v/>
      </c>
      <c r="AF34" s="93" t="str">
        <f>IF($BB34="","",IF(AF$6=$BJ34,"◆",IF(AND(AF$6&gt;=$BF34,AF$6&lt;=$BG34),IF(AND(AF$6&gt;=$BD34,AF$6&lt;=$BE34),"実","外"),IF(AND(AF$6&gt;=$BD34,AF$6&lt;=$BE34),"計",IF(AND(AF$6&gt;=$BH34,AF$6&lt;=$BI34),"遅","")))))</f>
        <v/>
      </c>
      <c r="AG34" s="93" t="str">
        <f>IF($BB34="","",IF(AG$6=$BJ34,"◆",IF(AND(AG$6&gt;=$BF34,AG$6&lt;=$BG34),IF(AND(AG$6&gt;=$BD34,AG$6&lt;=$BE34),"実","外"),IF(AND(AG$6&gt;=$BD34,AG$6&lt;=$BE34),"計",IF(AND(AG$6&gt;=$BH34,AG$6&lt;=$BI34),"遅","")))))</f>
        <v/>
      </c>
      <c r="AH34" s="93" t="str">
        <f>IF($BB34="","",IF(AH$6=$BJ34,"◆",IF(AND(AH$6&gt;=$BF34,AH$6&lt;=$BG34),IF(AND(AH$6&gt;=$BD34,AH$6&lt;=$BE34),"実","外"),IF(AND(AH$6&gt;=$BD34,AH$6&lt;=$BE34),"計",IF(AND(AH$6&gt;=$BH34,AH$6&lt;=$BI34),"遅","")))))</f>
        <v/>
      </c>
      <c r="AI34" s="93" t="str">
        <f>IF($BB34="","",IF(AI$6=$BJ34,"◆",IF(AND(AI$6&gt;=$BF34,AI$6&lt;=$BG34),IF(AND(AI$6&gt;=$BD34,AI$6&lt;=$BE34),"実","外"),IF(AND(AI$6&gt;=$BD34,AI$6&lt;=$BE34),"計",IF(AND(AI$6&gt;=$BH34,AI$6&lt;=$BI34),"遅","")))))</f>
        <v/>
      </c>
      <c r="AJ34" s="93" t="str">
        <f>IF($BB34="","",IF(AJ$6=$BJ34,"◆",IF(AND(AJ$6&gt;=$BF34,AJ$6&lt;=$BG34),IF(AND(AJ$6&gt;=$BD34,AJ$6&lt;=$BE34),"実","外"),IF(AND(AJ$6&gt;=$BD34,AJ$6&lt;=$BE34),"計",IF(AND(AJ$6&gt;=$BH34,AJ$6&lt;=$BI34),"遅","")))))</f>
        <v/>
      </c>
      <c r="AK34" s="93" t="str">
        <f>IF($BB34="","",IF(AK$6=$BJ34,"◆",IF(AND(AK$6&gt;=$BF34,AK$6&lt;=$BG34),IF(AND(AK$6&gt;=$BD34,AK$6&lt;=$BE34),"実","外"),IF(AND(AK$6&gt;=$BD34,AK$6&lt;=$BE34),"計",IF(AND(AK$6&gt;=$BH34,AK$6&lt;=$BI34),"遅","")))))</f>
        <v/>
      </c>
      <c r="AL34" s="93" t="str">
        <f>IF($BB34="","",IF(AL$6=$BJ34,"◆",IF(AND(AL$6&gt;=$BF34,AL$6&lt;=$BG34),IF(AND(AL$6&gt;=$BD34,AL$6&lt;=$BE34),"実","外"),IF(AND(AL$6&gt;=$BD34,AL$6&lt;=$BE34),"計",IF(AND(AL$6&gt;=$BH34,AL$6&lt;=$BI34),"遅","")))))</f>
        <v/>
      </c>
      <c r="AM34" s="93" t="str">
        <f>IF($BB34="","",IF(AM$6=$BJ34,"◆",IF(AND(AM$6&gt;=$BF34,AM$6&lt;=$BG34),IF(AND(AM$6&gt;=$BD34,AM$6&lt;=$BE34),"実","外"),IF(AND(AM$6&gt;=$BD34,AM$6&lt;=$BE34),"計",IF(AND(AM$6&gt;=$BH34,AM$6&lt;=$BI34),"遅","")))))</f>
        <v/>
      </c>
      <c r="AN34" s="93" t="str">
        <f>IF($BB34="","",IF(AN$6=$BJ34,"◆",IF(AND(AN$6&gt;=$BF34,AN$6&lt;=$BG34),IF(AND(AN$6&gt;=$BD34,AN$6&lt;=$BE34),"実","外"),IF(AND(AN$6&gt;=$BD34,AN$6&lt;=$BE34),"計",IF(AND(AN$6&gt;=$BH34,AN$6&lt;=$BI34),"遅","")))))</f>
        <v/>
      </c>
      <c r="AO34" s="93" t="str">
        <f>IF($BB34="","",IF(AO$6=$BJ34,"◆",IF(AND(AO$6&gt;=$BF34,AO$6&lt;=$BG34),IF(AND(AO$6&gt;=$BD34,AO$6&lt;=$BE34),"実","外"),IF(AND(AO$6&gt;=$BD34,AO$6&lt;=$BE34),"計",IF(AND(AO$6&gt;=$BH34,AO$6&lt;=$BI34),"遅","")))))</f>
        <v/>
      </c>
      <c r="AP34" s="93" t="str">
        <f>IF($BB34="","",IF(AP$6=$BJ34,"◆",IF(AND(AP$6&gt;=$BF34,AP$6&lt;=$BG34),IF(AND(AP$6&gt;=$BD34,AP$6&lt;=$BE34),"実","外"),IF(AND(AP$6&gt;=$BD34,AP$6&lt;=$BE34),"計",IF(AND(AP$6&gt;=$BH34,AP$6&lt;=$BI34),"遅","")))))</f>
        <v/>
      </c>
      <c r="AQ34" s="93" t="str">
        <f>IF($BB34="","",IF(AQ$6=$BJ34,"◆",IF(AND(AQ$6&gt;=$BF34,AQ$6&lt;=$BG34),IF(AND(AQ$6&gt;=$BD34,AQ$6&lt;=$BE34),"実","外"),IF(AND(AQ$6&gt;=$BD34,AQ$6&lt;=$BE34),"計",IF(AND(AQ$6&gt;=$BH34,AQ$6&lt;=$BI34),"遅","")))))</f>
        <v/>
      </c>
      <c r="AR34" s="93" t="str">
        <f>IF($BB34="","",IF(AR$6=$BJ34,"◆",IF(AND(AR$6&gt;=$BF34,AR$6&lt;=$BG34),IF(AND(AR$6&gt;=$BD34,AR$6&lt;=$BE34),"実","外"),IF(AND(AR$6&gt;=$BD34,AR$6&lt;=$BE34),"計",IF(AND(AR$6&gt;=$BH34,AR$6&lt;=$BI34),"遅","")))))</f>
        <v/>
      </c>
      <c r="AS34" s="93" t="str">
        <f>IF($BB34="","",IF(AS$6=$BJ34,"◆",IF(AND(AS$6&gt;=$BF34,AS$6&lt;=$BG34),IF(AND(AS$6&gt;=$BD34,AS$6&lt;=$BE34),"実","外"),IF(AND(AS$6&gt;=$BD34,AS$6&lt;=$BE34),"計",IF(AND(AS$6&gt;=$BH34,AS$6&lt;=$BI34),"遅","")))))</f>
        <v/>
      </c>
      <c r="AT34" s="93" t="str">
        <f>IF($BB34="","",IF(AT$6=$BJ34,"◆",IF(AND(AT$6&gt;=$BF34,AT$6&lt;=$BG34),IF(AND(AT$6&gt;=$BD34,AT$6&lt;=$BE34),"実","外"),IF(AND(AT$6&gt;=$BD34,AT$6&lt;=$BE34),"計",IF(AND(AT$6&gt;=$BH34,AT$6&lt;=$BI34),"遅","")))))</f>
        <v/>
      </c>
      <c r="AU34" s="93" t="str">
        <f>IF($BB34="","",IF(AU$6=$BJ34,"◆",IF(AND(AU$6&gt;=$BF34,AU$6&lt;=$BG34),IF(AND(AU$6&gt;=$BD34,AU$6&lt;=$BE34),"実","外"),IF(AND(AU$6&gt;=$BD34,AU$6&lt;=$BE34),"計",IF(AND(AU$6&gt;=$BH34,AU$6&lt;=$BI34),"遅","")))))</f>
        <v/>
      </c>
      <c r="AV34" s="93" t="str">
        <f>IF($BB34="","",IF(AV$6=$BJ34,"◆",IF(AND(AV$6&gt;=$BF34,AV$6&lt;=$BG34),IF(AND(AV$6&gt;=$BD34,AV$6&lt;=$BE34),"実","外"),IF(AND(AV$6&gt;=$BD34,AV$6&lt;=$BE34),"計",IF(AND(AV$6&gt;=$BH34,AV$6&lt;=$BI34),"遅","")))))</f>
        <v/>
      </c>
      <c r="AW34" s="93" t="str">
        <f>IF($BB34="","",IF(AW$6=$BJ34,"◆",IF(AND(AW$6&gt;=$BF34,AW$6&lt;=$BG34),IF(AND(AW$6&gt;=$BD34,AW$6&lt;=$BE34),"実","外"),IF(AND(AW$6&gt;=$BD34,AW$6&lt;=$BE34),"計",IF(AND(AW$6&gt;=$BH34,AW$6&lt;=$BI34),"遅","")))))</f>
        <v/>
      </c>
      <c r="AX34" s="93" t="str">
        <f>IF($BB34="","",IF(AX$6=$BJ34,"◆",IF(AND(AX$6&gt;=$BF34,AX$6&lt;=$BG34),IF(AND(AX$6&gt;=$BD34,AX$6&lt;=$BE34),"実","外"),IF(AND(AX$6&gt;=$BD34,AX$6&lt;=$BE34),"計",IF(AND(AX$6&gt;=$BH34,AX$6&lt;=$BI34),"遅","")))))</f>
        <v/>
      </c>
      <c r="AY34" s="93" t="str">
        <f>IF($BB34="","",IF(AY$6=$BJ34,"◆",IF(AND(AY$6&gt;=$BF34,AY$6&lt;=$BG34),IF(AND(AY$6&gt;=$BD34,AY$6&lt;=$BE34),"実","外"),IF(AND(AY$6&gt;=$BD34,AY$6&lt;=$BE34),"計",IF(AND(AY$6&gt;=$BH34,AY$6&lt;=$BI34),"遅","")))))</f>
        <v/>
      </c>
      <c r="AZ34" s="93" t="str">
        <f>IF($BB34="","",IF(AZ$6=$BJ34,"◆",IF(AND(AZ$6&gt;=$BF34,AZ$6&lt;=$BG34),IF(AND(AZ$6&gt;=$BD34,AZ$6&lt;=$BE34),"実","外"),IF(AND(AZ$6&gt;=$BD34,AZ$6&lt;=$BE34),"計",IF(AND(AZ$6&gt;=$BH34,AZ$6&lt;=$BI34),"遅","")))))</f>
        <v/>
      </c>
      <c r="BB34" t="str">
        <f>IF(27&gt;COUNTIF(tblSteps[日別対象],1),"",IFERROR(MATCH(27,tblSteps[日別順位],0),""))</f>
        <v/>
      </c>
      <c r="BC34" t="str">
        <f>IF($BB34="","",INDEX(tblSteps[案件ID],$BB34)&amp;"")</f>
        <v/>
      </c>
      <c r="BD34" t="str">
        <f>IF($BB34="","",INDEX(tblSteps[計開],$BB34))</f>
        <v/>
      </c>
      <c r="BE34" t="str">
        <f>IF($BB34="","",INDEX(tblSteps[計終],$BB34))</f>
        <v/>
      </c>
      <c r="BF34" t="str">
        <f>IF($BB34="","",INDEX(tblSteps[実開],$BB34))</f>
        <v/>
      </c>
      <c r="BG34" t="str">
        <f>IF($BB34="","",INDEX(tblSteps[実終],$BB34))</f>
        <v/>
      </c>
      <c r="BH34" t="str">
        <f>IF($BB34="","",INDEX(tblSteps[遅開],$BB34))</f>
        <v/>
      </c>
      <c r="BI34" t="str">
        <f>IF($BB34="","",INDEX(tblSteps[遅終],$BB34))</f>
        <v/>
      </c>
      <c r="BJ34" t="str">
        <f>IF($BB34="","",INDEX(tblSteps[納期値],$BB34))</f>
        <v/>
      </c>
    </row>
    <row r="35" ht="18" customHeight="1">
      <c r="A35" s="89" t="str">
        <f>IF($BB35="","",INDEX(tblSteps[工程ID],$BB35)&amp;"")</f>
        <v/>
      </c>
      <c r="B35" s="88" t="str">
        <f>IF($BB35="","",IF($BC35=$BC34,"",$BC35&amp;" "&amp;INDEX(tblSteps[案件名],$BB35)))</f>
        <v/>
      </c>
      <c r="C35" s="88" t="str">
        <f>IF($BB35="","",INDEX(tblSteps[工程名],$BB35)&amp;"")</f>
        <v/>
      </c>
      <c r="D35" s="89" t="str">
        <f>IF($BB35="","",INDEX(tblSteps[担当],$BB35)&amp;"")</f>
        <v/>
      </c>
      <c r="E35" s="89" t="str">
        <f>IF($BB35="","",INDEX(tblSteps[状態],$BB35)&amp;"")</f>
        <v/>
      </c>
      <c r="F35" s="90" t="str">
        <f>IF($BB35="","",IF(ISNUMBER(INDEX(tblSteps[進捗率],$BB35)),INDEX(tblSteps[進捗率],$BB35),""))</f>
        <v/>
      </c>
      <c r="G35" s="91" t="str">
        <f>IF($BB35="","",IF(ISNUMBER(INDEX(tblSteps[計画開始日],$BB35)),INDEX(tblSteps[計画開始日],$BB35),"未入力"))</f>
        <v/>
      </c>
      <c r="H35" s="91" t="str">
        <f>IF($BB35="","",IF(ISNUMBER(INDEX(tblSteps[計画終了日],$BB35)),INDEX(tblSteps[計画終了日],$BB35),"未入力"))</f>
        <v/>
      </c>
      <c r="I35" s="91" t="str">
        <f>IF($BB35="","",IF(ISNUMBER(INDEX(tblSteps[完了見込日],$BB35)),INDEX(tblSteps[完了見込日],$BB35),""))</f>
        <v/>
      </c>
      <c r="J35" s="92" t="str">
        <f>IF($BB35="","",INDEX(tblSteps[注意短],$BB35)&amp;"")</f>
        <v/>
      </c>
      <c r="K35" s="93" t="str">
        <f>IF($BB35="","",IF(K$6=$BJ35,"◆",IF(AND(K$6&gt;=$BF35,K$6&lt;=$BG35),IF(AND(K$6&gt;=$BD35,K$6&lt;=$BE35),"実","外"),IF(AND(K$6&gt;=$BD35,K$6&lt;=$BE35),"計",IF(AND(K$6&gt;=$BH35,K$6&lt;=$BI35),"遅","")))))</f>
        <v/>
      </c>
      <c r="L35" s="93" t="str">
        <f>IF($BB35="","",IF(L$6=$BJ35,"◆",IF(AND(L$6&gt;=$BF35,L$6&lt;=$BG35),IF(AND(L$6&gt;=$BD35,L$6&lt;=$BE35),"実","外"),IF(AND(L$6&gt;=$BD35,L$6&lt;=$BE35),"計",IF(AND(L$6&gt;=$BH35,L$6&lt;=$BI35),"遅","")))))</f>
        <v/>
      </c>
      <c r="M35" s="93" t="str">
        <f>IF($BB35="","",IF(M$6=$BJ35,"◆",IF(AND(M$6&gt;=$BF35,M$6&lt;=$BG35),IF(AND(M$6&gt;=$BD35,M$6&lt;=$BE35),"実","外"),IF(AND(M$6&gt;=$BD35,M$6&lt;=$BE35),"計",IF(AND(M$6&gt;=$BH35,M$6&lt;=$BI35),"遅","")))))</f>
        <v/>
      </c>
      <c r="N35" s="93" t="str">
        <f>IF($BB35="","",IF(N$6=$BJ35,"◆",IF(AND(N$6&gt;=$BF35,N$6&lt;=$BG35),IF(AND(N$6&gt;=$BD35,N$6&lt;=$BE35),"実","外"),IF(AND(N$6&gt;=$BD35,N$6&lt;=$BE35),"計",IF(AND(N$6&gt;=$BH35,N$6&lt;=$BI35),"遅","")))))</f>
        <v/>
      </c>
      <c r="O35" s="93" t="str">
        <f>IF($BB35="","",IF(O$6=$BJ35,"◆",IF(AND(O$6&gt;=$BF35,O$6&lt;=$BG35),IF(AND(O$6&gt;=$BD35,O$6&lt;=$BE35),"実","外"),IF(AND(O$6&gt;=$BD35,O$6&lt;=$BE35),"計",IF(AND(O$6&gt;=$BH35,O$6&lt;=$BI35),"遅","")))))</f>
        <v/>
      </c>
      <c r="P35" s="93" t="str">
        <f>IF($BB35="","",IF(P$6=$BJ35,"◆",IF(AND(P$6&gt;=$BF35,P$6&lt;=$BG35),IF(AND(P$6&gt;=$BD35,P$6&lt;=$BE35),"実","外"),IF(AND(P$6&gt;=$BD35,P$6&lt;=$BE35),"計",IF(AND(P$6&gt;=$BH35,P$6&lt;=$BI35),"遅","")))))</f>
        <v/>
      </c>
      <c r="Q35" s="93" t="str">
        <f>IF($BB35="","",IF(Q$6=$BJ35,"◆",IF(AND(Q$6&gt;=$BF35,Q$6&lt;=$BG35),IF(AND(Q$6&gt;=$BD35,Q$6&lt;=$BE35),"実","外"),IF(AND(Q$6&gt;=$BD35,Q$6&lt;=$BE35),"計",IF(AND(Q$6&gt;=$BH35,Q$6&lt;=$BI35),"遅","")))))</f>
        <v/>
      </c>
      <c r="R35" s="93" t="str">
        <f>IF($BB35="","",IF(R$6=$BJ35,"◆",IF(AND(R$6&gt;=$BF35,R$6&lt;=$BG35),IF(AND(R$6&gt;=$BD35,R$6&lt;=$BE35),"実","外"),IF(AND(R$6&gt;=$BD35,R$6&lt;=$BE35),"計",IF(AND(R$6&gt;=$BH35,R$6&lt;=$BI35),"遅","")))))</f>
        <v/>
      </c>
      <c r="S35" s="93" t="str">
        <f>IF($BB35="","",IF(S$6=$BJ35,"◆",IF(AND(S$6&gt;=$BF35,S$6&lt;=$BG35),IF(AND(S$6&gt;=$BD35,S$6&lt;=$BE35),"実","外"),IF(AND(S$6&gt;=$BD35,S$6&lt;=$BE35),"計",IF(AND(S$6&gt;=$BH35,S$6&lt;=$BI35),"遅","")))))</f>
        <v/>
      </c>
      <c r="T35" s="93" t="str">
        <f>IF($BB35="","",IF(T$6=$BJ35,"◆",IF(AND(T$6&gt;=$BF35,T$6&lt;=$BG35),IF(AND(T$6&gt;=$BD35,T$6&lt;=$BE35),"実","外"),IF(AND(T$6&gt;=$BD35,T$6&lt;=$BE35),"計",IF(AND(T$6&gt;=$BH35,T$6&lt;=$BI35),"遅","")))))</f>
        <v/>
      </c>
      <c r="U35" s="93" t="str">
        <f>IF($BB35="","",IF(U$6=$BJ35,"◆",IF(AND(U$6&gt;=$BF35,U$6&lt;=$BG35),IF(AND(U$6&gt;=$BD35,U$6&lt;=$BE35),"実","外"),IF(AND(U$6&gt;=$BD35,U$6&lt;=$BE35),"計",IF(AND(U$6&gt;=$BH35,U$6&lt;=$BI35),"遅","")))))</f>
        <v/>
      </c>
      <c r="V35" s="93" t="str">
        <f>IF($BB35="","",IF(V$6=$BJ35,"◆",IF(AND(V$6&gt;=$BF35,V$6&lt;=$BG35),IF(AND(V$6&gt;=$BD35,V$6&lt;=$BE35),"実","外"),IF(AND(V$6&gt;=$BD35,V$6&lt;=$BE35),"計",IF(AND(V$6&gt;=$BH35,V$6&lt;=$BI35),"遅","")))))</f>
        <v/>
      </c>
      <c r="W35" s="93" t="str">
        <f>IF($BB35="","",IF(W$6=$BJ35,"◆",IF(AND(W$6&gt;=$BF35,W$6&lt;=$BG35),IF(AND(W$6&gt;=$BD35,W$6&lt;=$BE35),"実","外"),IF(AND(W$6&gt;=$BD35,W$6&lt;=$BE35),"計",IF(AND(W$6&gt;=$BH35,W$6&lt;=$BI35),"遅","")))))</f>
        <v/>
      </c>
      <c r="X35" s="93" t="str">
        <f>IF($BB35="","",IF(X$6=$BJ35,"◆",IF(AND(X$6&gt;=$BF35,X$6&lt;=$BG35),IF(AND(X$6&gt;=$BD35,X$6&lt;=$BE35),"実","外"),IF(AND(X$6&gt;=$BD35,X$6&lt;=$BE35),"計",IF(AND(X$6&gt;=$BH35,X$6&lt;=$BI35),"遅","")))))</f>
        <v/>
      </c>
      <c r="Y35" s="93" t="str">
        <f>IF($BB35="","",IF(Y$6=$BJ35,"◆",IF(AND(Y$6&gt;=$BF35,Y$6&lt;=$BG35),IF(AND(Y$6&gt;=$BD35,Y$6&lt;=$BE35),"実","外"),IF(AND(Y$6&gt;=$BD35,Y$6&lt;=$BE35),"計",IF(AND(Y$6&gt;=$BH35,Y$6&lt;=$BI35),"遅","")))))</f>
        <v/>
      </c>
      <c r="Z35" s="93" t="str">
        <f>IF($BB35="","",IF(Z$6=$BJ35,"◆",IF(AND(Z$6&gt;=$BF35,Z$6&lt;=$BG35),IF(AND(Z$6&gt;=$BD35,Z$6&lt;=$BE35),"実","外"),IF(AND(Z$6&gt;=$BD35,Z$6&lt;=$BE35),"計",IF(AND(Z$6&gt;=$BH35,Z$6&lt;=$BI35),"遅","")))))</f>
        <v/>
      </c>
      <c r="AA35" s="93" t="str">
        <f>IF($BB35="","",IF(AA$6=$BJ35,"◆",IF(AND(AA$6&gt;=$BF35,AA$6&lt;=$BG35),IF(AND(AA$6&gt;=$BD35,AA$6&lt;=$BE35),"実","外"),IF(AND(AA$6&gt;=$BD35,AA$6&lt;=$BE35),"計",IF(AND(AA$6&gt;=$BH35,AA$6&lt;=$BI35),"遅","")))))</f>
        <v/>
      </c>
      <c r="AB35" s="93" t="str">
        <f>IF($BB35="","",IF(AB$6=$BJ35,"◆",IF(AND(AB$6&gt;=$BF35,AB$6&lt;=$BG35),IF(AND(AB$6&gt;=$BD35,AB$6&lt;=$BE35),"実","外"),IF(AND(AB$6&gt;=$BD35,AB$6&lt;=$BE35),"計",IF(AND(AB$6&gt;=$BH35,AB$6&lt;=$BI35),"遅","")))))</f>
        <v/>
      </c>
      <c r="AC35" s="93" t="str">
        <f>IF($BB35="","",IF(AC$6=$BJ35,"◆",IF(AND(AC$6&gt;=$BF35,AC$6&lt;=$BG35),IF(AND(AC$6&gt;=$BD35,AC$6&lt;=$BE35),"実","外"),IF(AND(AC$6&gt;=$BD35,AC$6&lt;=$BE35),"計",IF(AND(AC$6&gt;=$BH35,AC$6&lt;=$BI35),"遅","")))))</f>
        <v/>
      </c>
      <c r="AD35" s="93" t="str">
        <f>IF($BB35="","",IF(AD$6=$BJ35,"◆",IF(AND(AD$6&gt;=$BF35,AD$6&lt;=$BG35),IF(AND(AD$6&gt;=$BD35,AD$6&lt;=$BE35),"実","外"),IF(AND(AD$6&gt;=$BD35,AD$6&lt;=$BE35),"計",IF(AND(AD$6&gt;=$BH35,AD$6&lt;=$BI35),"遅","")))))</f>
        <v/>
      </c>
      <c r="AE35" s="93" t="str">
        <f>IF($BB35="","",IF(AE$6=$BJ35,"◆",IF(AND(AE$6&gt;=$BF35,AE$6&lt;=$BG35),IF(AND(AE$6&gt;=$BD35,AE$6&lt;=$BE35),"実","外"),IF(AND(AE$6&gt;=$BD35,AE$6&lt;=$BE35),"計",IF(AND(AE$6&gt;=$BH35,AE$6&lt;=$BI35),"遅","")))))</f>
        <v/>
      </c>
      <c r="AF35" s="93" t="str">
        <f>IF($BB35="","",IF(AF$6=$BJ35,"◆",IF(AND(AF$6&gt;=$BF35,AF$6&lt;=$BG35),IF(AND(AF$6&gt;=$BD35,AF$6&lt;=$BE35),"実","外"),IF(AND(AF$6&gt;=$BD35,AF$6&lt;=$BE35),"計",IF(AND(AF$6&gt;=$BH35,AF$6&lt;=$BI35),"遅","")))))</f>
        <v/>
      </c>
      <c r="AG35" s="93" t="str">
        <f>IF($BB35="","",IF(AG$6=$BJ35,"◆",IF(AND(AG$6&gt;=$BF35,AG$6&lt;=$BG35),IF(AND(AG$6&gt;=$BD35,AG$6&lt;=$BE35),"実","外"),IF(AND(AG$6&gt;=$BD35,AG$6&lt;=$BE35),"計",IF(AND(AG$6&gt;=$BH35,AG$6&lt;=$BI35),"遅","")))))</f>
        <v/>
      </c>
      <c r="AH35" s="93" t="str">
        <f>IF($BB35="","",IF(AH$6=$BJ35,"◆",IF(AND(AH$6&gt;=$BF35,AH$6&lt;=$BG35),IF(AND(AH$6&gt;=$BD35,AH$6&lt;=$BE35),"実","外"),IF(AND(AH$6&gt;=$BD35,AH$6&lt;=$BE35),"計",IF(AND(AH$6&gt;=$BH35,AH$6&lt;=$BI35),"遅","")))))</f>
        <v/>
      </c>
      <c r="AI35" s="93" t="str">
        <f>IF($BB35="","",IF(AI$6=$BJ35,"◆",IF(AND(AI$6&gt;=$BF35,AI$6&lt;=$BG35),IF(AND(AI$6&gt;=$BD35,AI$6&lt;=$BE35),"実","外"),IF(AND(AI$6&gt;=$BD35,AI$6&lt;=$BE35),"計",IF(AND(AI$6&gt;=$BH35,AI$6&lt;=$BI35),"遅","")))))</f>
        <v/>
      </c>
      <c r="AJ35" s="93" t="str">
        <f>IF($BB35="","",IF(AJ$6=$BJ35,"◆",IF(AND(AJ$6&gt;=$BF35,AJ$6&lt;=$BG35),IF(AND(AJ$6&gt;=$BD35,AJ$6&lt;=$BE35),"実","外"),IF(AND(AJ$6&gt;=$BD35,AJ$6&lt;=$BE35),"計",IF(AND(AJ$6&gt;=$BH35,AJ$6&lt;=$BI35),"遅","")))))</f>
        <v/>
      </c>
      <c r="AK35" s="93" t="str">
        <f>IF($BB35="","",IF(AK$6=$BJ35,"◆",IF(AND(AK$6&gt;=$BF35,AK$6&lt;=$BG35),IF(AND(AK$6&gt;=$BD35,AK$6&lt;=$BE35),"実","外"),IF(AND(AK$6&gt;=$BD35,AK$6&lt;=$BE35),"計",IF(AND(AK$6&gt;=$BH35,AK$6&lt;=$BI35),"遅","")))))</f>
        <v/>
      </c>
      <c r="AL35" s="93" t="str">
        <f>IF($BB35="","",IF(AL$6=$BJ35,"◆",IF(AND(AL$6&gt;=$BF35,AL$6&lt;=$BG35),IF(AND(AL$6&gt;=$BD35,AL$6&lt;=$BE35),"実","外"),IF(AND(AL$6&gt;=$BD35,AL$6&lt;=$BE35),"計",IF(AND(AL$6&gt;=$BH35,AL$6&lt;=$BI35),"遅","")))))</f>
        <v/>
      </c>
      <c r="AM35" s="93" t="str">
        <f>IF($BB35="","",IF(AM$6=$BJ35,"◆",IF(AND(AM$6&gt;=$BF35,AM$6&lt;=$BG35),IF(AND(AM$6&gt;=$BD35,AM$6&lt;=$BE35),"実","外"),IF(AND(AM$6&gt;=$BD35,AM$6&lt;=$BE35),"計",IF(AND(AM$6&gt;=$BH35,AM$6&lt;=$BI35),"遅","")))))</f>
        <v/>
      </c>
      <c r="AN35" s="93" t="str">
        <f>IF($BB35="","",IF(AN$6=$BJ35,"◆",IF(AND(AN$6&gt;=$BF35,AN$6&lt;=$BG35),IF(AND(AN$6&gt;=$BD35,AN$6&lt;=$BE35),"実","外"),IF(AND(AN$6&gt;=$BD35,AN$6&lt;=$BE35),"計",IF(AND(AN$6&gt;=$BH35,AN$6&lt;=$BI35),"遅","")))))</f>
        <v/>
      </c>
      <c r="AO35" s="93" t="str">
        <f>IF($BB35="","",IF(AO$6=$BJ35,"◆",IF(AND(AO$6&gt;=$BF35,AO$6&lt;=$BG35),IF(AND(AO$6&gt;=$BD35,AO$6&lt;=$BE35),"実","外"),IF(AND(AO$6&gt;=$BD35,AO$6&lt;=$BE35),"計",IF(AND(AO$6&gt;=$BH35,AO$6&lt;=$BI35),"遅","")))))</f>
        <v/>
      </c>
      <c r="AP35" s="93" t="str">
        <f>IF($BB35="","",IF(AP$6=$BJ35,"◆",IF(AND(AP$6&gt;=$BF35,AP$6&lt;=$BG35),IF(AND(AP$6&gt;=$BD35,AP$6&lt;=$BE35),"実","外"),IF(AND(AP$6&gt;=$BD35,AP$6&lt;=$BE35),"計",IF(AND(AP$6&gt;=$BH35,AP$6&lt;=$BI35),"遅","")))))</f>
        <v/>
      </c>
      <c r="AQ35" s="93" t="str">
        <f>IF($BB35="","",IF(AQ$6=$BJ35,"◆",IF(AND(AQ$6&gt;=$BF35,AQ$6&lt;=$BG35),IF(AND(AQ$6&gt;=$BD35,AQ$6&lt;=$BE35),"実","外"),IF(AND(AQ$6&gt;=$BD35,AQ$6&lt;=$BE35),"計",IF(AND(AQ$6&gt;=$BH35,AQ$6&lt;=$BI35),"遅","")))))</f>
        <v/>
      </c>
      <c r="AR35" s="93" t="str">
        <f>IF($BB35="","",IF(AR$6=$BJ35,"◆",IF(AND(AR$6&gt;=$BF35,AR$6&lt;=$BG35),IF(AND(AR$6&gt;=$BD35,AR$6&lt;=$BE35),"実","外"),IF(AND(AR$6&gt;=$BD35,AR$6&lt;=$BE35),"計",IF(AND(AR$6&gt;=$BH35,AR$6&lt;=$BI35),"遅","")))))</f>
        <v/>
      </c>
      <c r="AS35" s="93" t="str">
        <f>IF($BB35="","",IF(AS$6=$BJ35,"◆",IF(AND(AS$6&gt;=$BF35,AS$6&lt;=$BG35),IF(AND(AS$6&gt;=$BD35,AS$6&lt;=$BE35),"実","外"),IF(AND(AS$6&gt;=$BD35,AS$6&lt;=$BE35),"計",IF(AND(AS$6&gt;=$BH35,AS$6&lt;=$BI35),"遅","")))))</f>
        <v/>
      </c>
      <c r="AT35" s="93" t="str">
        <f>IF($BB35="","",IF(AT$6=$BJ35,"◆",IF(AND(AT$6&gt;=$BF35,AT$6&lt;=$BG35),IF(AND(AT$6&gt;=$BD35,AT$6&lt;=$BE35),"実","外"),IF(AND(AT$6&gt;=$BD35,AT$6&lt;=$BE35),"計",IF(AND(AT$6&gt;=$BH35,AT$6&lt;=$BI35),"遅","")))))</f>
        <v/>
      </c>
      <c r="AU35" s="93" t="str">
        <f>IF($BB35="","",IF(AU$6=$BJ35,"◆",IF(AND(AU$6&gt;=$BF35,AU$6&lt;=$BG35),IF(AND(AU$6&gt;=$BD35,AU$6&lt;=$BE35),"実","外"),IF(AND(AU$6&gt;=$BD35,AU$6&lt;=$BE35),"計",IF(AND(AU$6&gt;=$BH35,AU$6&lt;=$BI35),"遅","")))))</f>
        <v/>
      </c>
      <c r="AV35" s="93" t="str">
        <f>IF($BB35="","",IF(AV$6=$BJ35,"◆",IF(AND(AV$6&gt;=$BF35,AV$6&lt;=$BG35),IF(AND(AV$6&gt;=$BD35,AV$6&lt;=$BE35),"実","外"),IF(AND(AV$6&gt;=$BD35,AV$6&lt;=$BE35),"計",IF(AND(AV$6&gt;=$BH35,AV$6&lt;=$BI35),"遅","")))))</f>
        <v/>
      </c>
      <c r="AW35" s="93" t="str">
        <f>IF($BB35="","",IF(AW$6=$BJ35,"◆",IF(AND(AW$6&gt;=$BF35,AW$6&lt;=$BG35),IF(AND(AW$6&gt;=$BD35,AW$6&lt;=$BE35),"実","外"),IF(AND(AW$6&gt;=$BD35,AW$6&lt;=$BE35),"計",IF(AND(AW$6&gt;=$BH35,AW$6&lt;=$BI35),"遅","")))))</f>
        <v/>
      </c>
      <c r="AX35" s="93" t="str">
        <f>IF($BB35="","",IF(AX$6=$BJ35,"◆",IF(AND(AX$6&gt;=$BF35,AX$6&lt;=$BG35),IF(AND(AX$6&gt;=$BD35,AX$6&lt;=$BE35),"実","外"),IF(AND(AX$6&gt;=$BD35,AX$6&lt;=$BE35),"計",IF(AND(AX$6&gt;=$BH35,AX$6&lt;=$BI35),"遅","")))))</f>
        <v/>
      </c>
      <c r="AY35" s="93" t="str">
        <f>IF($BB35="","",IF(AY$6=$BJ35,"◆",IF(AND(AY$6&gt;=$BF35,AY$6&lt;=$BG35),IF(AND(AY$6&gt;=$BD35,AY$6&lt;=$BE35),"実","外"),IF(AND(AY$6&gt;=$BD35,AY$6&lt;=$BE35),"計",IF(AND(AY$6&gt;=$BH35,AY$6&lt;=$BI35),"遅","")))))</f>
        <v/>
      </c>
      <c r="AZ35" s="93" t="str">
        <f>IF($BB35="","",IF(AZ$6=$BJ35,"◆",IF(AND(AZ$6&gt;=$BF35,AZ$6&lt;=$BG35),IF(AND(AZ$6&gt;=$BD35,AZ$6&lt;=$BE35),"実","外"),IF(AND(AZ$6&gt;=$BD35,AZ$6&lt;=$BE35),"計",IF(AND(AZ$6&gt;=$BH35,AZ$6&lt;=$BI35),"遅","")))))</f>
        <v/>
      </c>
      <c r="BB35" t="str">
        <f>IF(28&gt;COUNTIF(tblSteps[日別対象],1),"",IFERROR(MATCH(28,tblSteps[日別順位],0),""))</f>
        <v/>
      </c>
      <c r="BC35" t="str">
        <f>IF($BB35="","",INDEX(tblSteps[案件ID],$BB35)&amp;"")</f>
        <v/>
      </c>
      <c r="BD35" t="str">
        <f>IF($BB35="","",INDEX(tblSteps[計開],$BB35))</f>
        <v/>
      </c>
      <c r="BE35" t="str">
        <f>IF($BB35="","",INDEX(tblSteps[計終],$BB35))</f>
        <v/>
      </c>
      <c r="BF35" t="str">
        <f>IF($BB35="","",INDEX(tblSteps[実開],$BB35))</f>
        <v/>
      </c>
      <c r="BG35" t="str">
        <f>IF($BB35="","",INDEX(tblSteps[実終],$BB35))</f>
        <v/>
      </c>
      <c r="BH35" t="str">
        <f>IF($BB35="","",INDEX(tblSteps[遅開],$BB35))</f>
        <v/>
      </c>
      <c r="BI35" t="str">
        <f>IF($BB35="","",INDEX(tblSteps[遅終],$BB35))</f>
        <v/>
      </c>
      <c r="BJ35" t="str">
        <f>IF($BB35="","",INDEX(tblSteps[納期値],$BB35))</f>
        <v/>
      </c>
    </row>
    <row r="36" ht="18" customHeight="1">
      <c r="A36" s="89" t="str">
        <f>IF($BB36="","",INDEX(tblSteps[工程ID],$BB36)&amp;"")</f>
        <v/>
      </c>
      <c r="B36" s="88" t="str">
        <f>IF($BB36="","",IF($BC36=$BC35,"",$BC36&amp;" "&amp;INDEX(tblSteps[案件名],$BB36)))</f>
        <v/>
      </c>
      <c r="C36" s="88" t="str">
        <f>IF($BB36="","",INDEX(tblSteps[工程名],$BB36)&amp;"")</f>
        <v/>
      </c>
      <c r="D36" s="89" t="str">
        <f>IF($BB36="","",INDEX(tblSteps[担当],$BB36)&amp;"")</f>
        <v/>
      </c>
      <c r="E36" s="89" t="str">
        <f>IF($BB36="","",INDEX(tblSteps[状態],$BB36)&amp;"")</f>
        <v/>
      </c>
      <c r="F36" s="90" t="str">
        <f>IF($BB36="","",IF(ISNUMBER(INDEX(tblSteps[進捗率],$BB36)),INDEX(tblSteps[進捗率],$BB36),""))</f>
        <v/>
      </c>
      <c r="G36" s="91" t="str">
        <f>IF($BB36="","",IF(ISNUMBER(INDEX(tblSteps[計画開始日],$BB36)),INDEX(tblSteps[計画開始日],$BB36),"未入力"))</f>
        <v/>
      </c>
      <c r="H36" s="91" t="str">
        <f>IF($BB36="","",IF(ISNUMBER(INDEX(tblSteps[計画終了日],$BB36)),INDEX(tblSteps[計画終了日],$BB36),"未入力"))</f>
        <v/>
      </c>
      <c r="I36" s="91" t="str">
        <f>IF($BB36="","",IF(ISNUMBER(INDEX(tblSteps[完了見込日],$BB36)),INDEX(tblSteps[完了見込日],$BB36),""))</f>
        <v/>
      </c>
      <c r="J36" s="92" t="str">
        <f>IF($BB36="","",INDEX(tblSteps[注意短],$BB36)&amp;"")</f>
        <v/>
      </c>
      <c r="K36" s="93" t="str">
        <f>IF($BB36="","",IF(K$6=$BJ36,"◆",IF(AND(K$6&gt;=$BF36,K$6&lt;=$BG36),IF(AND(K$6&gt;=$BD36,K$6&lt;=$BE36),"実","外"),IF(AND(K$6&gt;=$BD36,K$6&lt;=$BE36),"計",IF(AND(K$6&gt;=$BH36,K$6&lt;=$BI36),"遅","")))))</f>
        <v/>
      </c>
      <c r="L36" s="93" t="str">
        <f>IF($BB36="","",IF(L$6=$BJ36,"◆",IF(AND(L$6&gt;=$BF36,L$6&lt;=$BG36),IF(AND(L$6&gt;=$BD36,L$6&lt;=$BE36),"実","外"),IF(AND(L$6&gt;=$BD36,L$6&lt;=$BE36),"計",IF(AND(L$6&gt;=$BH36,L$6&lt;=$BI36),"遅","")))))</f>
        <v/>
      </c>
      <c r="M36" s="93" t="str">
        <f>IF($BB36="","",IF(M$6=$BJ36,"◆",IF(AND(M$6&gt;=$BF36,M$6&lt;=$BG36),IF(AND(M$6&gt;=$BD36,M$6&lt;=$BE36),"実","外"),IF(AND(M$6&gt;=$BD36,M$6&lt;=$BE36),"計",IF(AND(M$6&gt;=$BH36,M$6&lt;=$BI36),"遅","")))))</f>
        <v/>
      </c>
      <c r="N36" s="93" t="str">
        <f>IF($BB36="","",IF(N$6=$BJ36,"◆",IF(AND(N$6&gt;=$BF36,N$6&lt;=$BG36),IF(AND(N$6&gt;=$BD36,N$6&lt;=$BE36),"実","外"),IF(AND(N$6&gt;=$BD36,N$6&lt;=$BE36),"計",IF(AND(N$6&gt;=$BH36,N$6&lt;=$BI36),"遅","")))))</f>
        <v/>
      </c>
      <c r="O36" s="93" t="str">
        <f>IF($BB36="","",IF(O$6=$BJ36,"◆",IF(AND(O$6&gt;=$BF36,O$6&lt;=$BG36),IF(AND(O$6&gt;=$BD36,O$6&lt;=$BE36),"実","外"),IF(AND(O$6&gt;=$BD36,O$6&lt;=$BE36),"計",IF(AND(O$6&gt;=$BH36,O$6&lt;=$BI36),"遅","")))))</f>
        <v/>
      </c>
      <c r="P36" s="93" t="str">
        <f>IF($BB36="","",IF(P$6=$BJ36,"◆",IF(AND(P$6&gt;=$BF36,P$6&lt;=$BG36),IF(AND(P$6&gt;=$BD36,P$6&lt;=$BE36),"実","外"),IF(AND(P$6&gt;=$BD36,P$6&lt;=$BE36),"計",IF(AND(P$6&gt;=$BH36,P$6&lt;=$BI36),"遅","")))))</f>
        <v/>
      </c>
      <c r="Q36" s="93" t="str">
        <f>IF($BB36="","",IF(Q$6=$BJ36,"◆",IF(AND(Q$6&gt;=$BF36,Q$6&lt;=$BG36),IF(AND(Q$6&gt;=$BD36,Q$6&lt;=$BE36),"実","外"),IF(AND(Q$6&gt;=$BD36,Q$6&lt;=$BE36),"計",IF(AND(Q$6&gt;=$BH36,Q$6&lt;=$BI36),"遅","")))))</f>
        <v/>
      </c>
      <c r="R36" s="93" t="str">
        <f>IF($BB36="","",IF(R$6=$BJ36,"◆",IF(AND(R$6&gt;=$BF36,R$6&lt;=$BG36),IF(AND(R$6&gt;=$BD36,R$6&lt;=$BE36),"実","外"),IF(AND(R$6&gt;=$BD36,R$6&lt;=$BE36),"計",IF(AND(R$6&gt;=$BH36,R$6&lt;=$BI36),"遅","")))))</f>
        <v/>
      </c>
      <c r="S36" s="93" t="str">
        <f>IF($BB36="","",IF(S$6=$BJ36,"◆",IF(AND(S$6&gt;=$BF36,S$6&lt;=$BG36),IF(AND(S$6&gt;=$BD36,S$6&lt;=$BE36),"実","外"),IF(AND(S$6&gt;=$BD36,S$6&lt;=$BE36),"計",IF(AND(S$6&gt;=$BH36,S$6&lt;=$BI36),"遅","")))))</f>
        <v/>
      </c>
      <c r="T36" s="93" t="str">
        <f>IF($BB36="","",IF(T$6=$BJ36,"◆",IF(AND(T$6&gt;=$BF36,T$6&lt;=$BG36),IF(AND(T$6&gt;=$BD36,T$6&lt;=$BE36),"実","外"),IF(AND(T$6&gt;=$BD36,T$6&lt;=$BE36),"計",IF(AND(T$6&gt;=$BH36,T$6&lt;=$BI36),"遅","")))))</f>
        <v/>
      </c>
      <c r="U36" s="93" t="str">
        <f>IF($BB36="","",IF(U$6=$BJ36,"◆",IF(AND(U$6&gt;=$BF36,U$6&lt;=$BG36),IF(AND(U$6&gt;=$BD36,U$6&lt;=$BE36),"実","外"),IF(AND(U$6&gt;=$BD36,U$6&lt;=$BE36),"計",IF(AND(U$6&gt;=$BH36,U$6&lt;=$BI36),"遅","")))))</f>
        <v/>
      </c>
      <c r="V36" s="93" t="str">
        <f>IF($BB36="","",IF(V$6=$BJ36,"◆",IF(AND(V$6&gt;=$BF36,V$6&lt;=$BG36),IF(AND(V$6&gt;=$BD36,V$6&lt;=$BE36),"実","外"),IF(AND(V$6&gt;=$BD36,V$6&lt;=$BE36),"計",IF(AND(V$6&gt;=$BH36,V$6&lt;=$BI36),"遅","")))))</f>
        <v/>
      </c>
      <c r="W36" s="93" t="str">
        <f>IF($BB36="","",IF(W$6=$BJ36,"◆",IF(AND(W$6&gt;=$BF36,W$6&lt;=$BG36),IF(AND(W$6&gt;=$BD36,W$6&lt;=$BE36),"実","外"),IF(AND(W$6&gt;=$BD36,W$6&lt;=$BE36),"計",IF(AND(W$6&gt;=$BH36,W$6&lt;=$BI36),"遅","")))))</f>
        <v/>
      </c>
      <c r="X36" s="93" t="str">
        <f>IF($BB36="","",IF(X$6=$BJ36,"◆",IF(AND(X$6&gt;=$BF36,X$6&lt;=$BG36),IF(AND(X$6&gt;=$BD36,X$6&lt;=$BE36),"実","外"),IF(AND(X$6&gt;=$BD36,X$6&lt;=$BE36),"計",IF(AND(X$6&gt;=$BH36,X$6&lt;=$BI36),"遅","")))))</f>
        <v/>
      </c>
      <c r="Y36" s="93" t="str">
        <f>IF($BB36="","",IF(Y$6=$BJ36,"◆",IF(AND(Y$6&gt;=$BF36,Y$6&lt;=$BG36),IF(AND(Y$6&gt;=$BD36,Y$6&lt;=$BE36),"実","外"),IF(AND(Y$6&gt;=$BD36,Y$6&lt;=$BE36),"計",IF(AND(Y$6&gt;=$BH36,Y$6&lt;=$BI36),"遅","")))))</f>
        <v/>
      </c>
      <c r="Z36" s="93" t="str">
        <f>IF($BB36="","",IF(Z$6=$BJ36,"◆",IF(AND(Z$6&gt;=$BF36,Z$6&lt;=$BG36),IF(AND(Z$6&gt;=$BD36,Z$6&lt;=$BE36),"実","外"),IF(AND(Z$6&gt;=$BD36,Z$6&lt;=$BE36),"計",IF(AND(Z$6&gt;=$BH36,Z$6&lt;=$BI36),"遅","")))))</f>
        <v/>
      </c>
      <c r="AA36" s="93" t="str">
        <f>IF($BB36="","",IF(AA$6=$BJ36,"◆",IF(AND(AA$6&gt;=$BF36,AA$6&lt;=$BG36),IF(AND(AA$6&gt;=$BD36,AA$6&lt;=$BE36),"実","外"),IF(AND(AA$6&gt;=$BD36,AA$6&lt;=$BE36),"計",IF(AND(AA$6&gt;=$BH36,AA$6&lt;=$BI36),"遅","")))))</f>
        <v/>
      </c>
      <c r="AB36" s="93" t="str">
        <f>IF($BB36="","",IF(AB$6=$BJ36,"◆",IF(AND(AB$6&gt;=$BF36,AB$6&lt;=$BG36),IF(AND(AB$6&gt;=$BD36,AB$6&lt;=$BE36),"実","外"),IF(AND(AB$6&gt;=$BD36,AB$6&lt;=$BE36),"計",IF(AND(AB$6&gt;=$BH36,AB$6&lt;=$BI36),"遅","")))))</f>
        <v/>
      </c>
      <c r="AC36" s="93" t="str">
        <f>IF($BB36="","",IF(AC$6=$BJ36,"◆",IF(AND(AC$6&gt;=$BF36,AC$6&lt;=$BG36),IF(AND(AC$6&gt;=$BD36,AC$6&lt;=$BE36),"実","外"),IF(AND(AC$6&gt;=$BD36,AC$6&lt;=$BE36),"計",IF(AND(AC$6&gt;=$BH36,AC$6&lt;=$BI36),"遅","")))))</f>
        <v/>
      </c>
      <c r="AD36" s="93" t="str">
        <f>IF($BB36="","",IF(AD$6=$BJ36,"◆",IF(AND(AD$6&gt;=$BF36,AD$6&lt;=$BG36),IF(AND(AD$6&gt;=$BD36,AD$6&lt;=$BE36),"実","外"),IF(AND(AD$6&gt;=$BD36,AD$6&lt;=$BE36),"計",IF(AND(AD$6&gt;=$BH36,AD$6&lt;=$BI36),"遅","")))))</f>
        <v/>
      </c>
      <c r="AE36" s="93" t="str">
        <f>IF($BB36="","",IF(AE$6=$BJ36,"◆",IF(AND(AE$6&gt;=$BF36,AE$6&lt;=$BG36),IF(AND(AE$6&gt;=$BD36,AE$6&lt;=$BE36),"実","外"),IF(AND(AE$6&gt;=$BD36,AE$6&lt;=$BE36),"計",IF(AND(AE$6&gt;=$BH36,AE$6&lt;=$BI36),"遅","")))))</f>
        <v/>
      </c>
      <c r="AF36" s="93" t="str">
        <f>IF($BB36="","",IF(AF$6=$BJ36,"◆",IF(AND(AF$6&gt;=$BF36,AF$6&lt;=$BG36),IF(AND(AF$6&gt;=$BD36,AF$6&lt;=$BE36),"実","外"),IF(AND(AF$6&gt;=$BD36,AF$6&lt;=$BE36),"計",IF(AND(AF$6&gt;=$BH36,AF$6&lt;=$BI36),"遅","")))))</f>
        <v/>
      </c>
      <c r="AG36" s="93" t="str">
        <f>IF($BB36="","",IF(AG$6=$BJ36,"◆",IF(AND(AG$6&gt;=$BF36,AG$6&lt;=$BG36),IF(AND(AG$6&gt;=$BD36,AG$6&lt;=$BE36),"実","外"),IF(AND(AG$6&gt;=$BD36,AG$6&lt;=$BE36),"計",IF(AND(AG$6&gt;=$BH36,AG$6&lt;=$BI36),"遅","")))))</f>
        <v/>
      </c>
      <c r="AH36" s="93" t="str">
        <f>IF($BB36="","",IF(AH$6=$BJ36,"◆",IF(AND(AH$6&gt;=$BF36,AH$6&lt;=$BG36),IF(AND(AH$6&gt;=$BD36,AH$6&lt;=$BE36),"実","外"),IF(AND(AH$6&gt;=$BD36,AH$6&lt;=$BE36),"計",IF(AND(AH$6&gt;=$BH36,AH$6&lt;=$BI36),"遅","")))))</f>
        <v/>
      </c>
      <c r="AI36" s="93" t="str">
        <f>IF($BB36="","",IF(AI$6=$BJ36,"◆",IF(AND(AI$6&gt;=$BF36,AI$6&lt;=$BG36),IF(AND(AI$6&gt;=$BD36,AI$6&lt;=$BE36),"実","外"),IF(AND(AI$6&gt;=$BD36,AI$6&lt;=$BE36),"計",IF(AND(AI$6&gt;=$BH36,AI$6&lt;=$BI36),"遅","")))))</f>
        <v/>
      </c>
      <c r="AJ36" s="93" t="str">
        <f>IF($BB36="","",IF(AJ$6=$BJ36,"◆",IF(AND(AJ$6&gt;=$BF36,AJ$6&lt;=$BG36),IF(AND(AJ$6&gt;=$BD36,AJ$6&lt;=$BE36),"実","外"),IF(AND(AJ$6&gt;=$BD36,AJ$6&lt;=$BE36),"計",IF(AND(AJ$6&gt;=$BH36,AJ$6&lt;=$BI36),"遅","")))))</f>
        <v/>
      </c>
      <c r="AK36" s="93" t="str">
        <f>IF($BB36="","",IF(AK$6=$BJ36,"◆",IF(AND(AK$6&gt;=$BF36,AK$6&lt;=$BG36),IF(AND(AK$6&gt;=$BD36,AK$6&lt;=$BE36),"実","外"),IF(AND(AK$6&gt;=$BD36,AK$6&lt;=$BE36),"計",IF(AND(AK$6&gt;=$BH36,AK$6&lt;=$BI36),"遅","")))))</f>
        <v/>
      </c>
      <c r="AL36" s="93" t="str">
        <f>IF($BB36="","",IF(AL$6=$BJ36,"◆",IF(AND(AL$6&gt;=$BF36,AL$6&lt;=$BG36),IF(AND(AL$6&gt;=$BD36,AL$6&lt;=$BE36),"実","外"),IF(AND(AL$6&gt;=$BD36,AL$6&lt;=$BE36),"計",IF(AND(AL$6&gt;=$BH36,AL$6&lt;=$BI36),"遅","")))))</f>
        <v/>
      </c>
      <c r="AM36" s="93" t="str">
        <f>IF($BB36="","",IF(AM$6=$BJ36,"◆",IF(AND(AM$6&gt;=$BF36,AM$6&lt;=$BG36),IF(AND(AM$6&gt;=$BD36,AM$6&lt;=$BE36),"実","外"),IF(AND(AM$6&gt;=$BD36,AM$6&lt;=$BE36),"計",IF(AND(AM$6&gt;=$BH36,AM$6&lt;=$BI36),"遅","")))))</f>
        <v/>
      </c>
      <c r="AN36" s="93" t="str">
        <f>IF($BB36="","",IF(AN$6=$BJ36,"◆",IF(AND(AN$6&gt;=$BF36,AN$6&lt;=$BG36),IF(AND(AN$6&gt;=$BD36,AN$6&lt;=$BE36),"実","外"),IF(AND(AN$6&gt;=$BD36,AN$6&lt;=$BE36),"計",IF(AND(AN$6&gt;=$BH36,AN$6&lt;=$BI36),"遅","")))))</f>
        <v/>
      </c>
      <c r="AO36" s="93" t="str">
        <f>IF($BB36="","",IF(AO$6=$BJ36,"◆",IF(AND(AO$6&gt;=$BF36,AO$6&lt;=$BG36),IF(AND(AO$6&gt;=$BD36,AO$6&lt;=$BE36),"実","外"),IF(AND(AO$6&gt;=$BD36,AO$6&lt;=$BE36),"計",IF(AND(AO$6&gt;=$BH36,AO$6&lt;=$BI36),"遅","")))))</f>
        <v/>
      </c>
      <c r="AP36" s="93" t="str">
        <f>IF($BB36="","",IF(AP$6=$BJ36,"◆",IF(AND(AP$6&gt;=$BF36,AP$6&lt;=$BG36),IF(AND(AP$6&gt;=$BD36,AP$6&lt;=$BE36),"実","外"),IF(AND(AP$6&gt;=$BD36,AP$6&lt;=$BE36),"計",IF(AND(AP$6&gt;=$BH36,AP$6&lt;=$BI36),"遅","")))))</f>
        <v/>
      </c>
      <c r="AQ36" s="93" t="str">
        <f>IF($BB36="","",IF(AQ$6=$BJ36,"◆",IF(AND(AQ$6&gt;=$BF36,AQ$6&lt;=$BG36),IF(AND(AQ$6&gt;=$BD36,AQ$6&lt;=$BE36),"実","外"),IF(AND(AQ$6&gt;=$BD36,AQ$6&lt;=$BE36),"計",IF(AND(AQ$6&gt;=$BH36,AQ$6&lt;=$BI36),"遅","")))))</f>
        <v/>
      </c>
      <c r="AR36" s="93" t="str">
        <f>IF($BB36="","",IF(AR$6=$BJ36,"◆",IF(AND(AR$6&gt;=$BF36,AR$6&lt;=$BG36),IF(AND(AR$6&gt;=$BD36,AR$6&lt;=$BE36),"実","外"),IF(AND(AR$6&gt;=$BD36,AR$6&lt;=$BE36),"計",IF(AND(AR$6&gt;=$BH36,AR$6&lt;=$BI36),"遅","")))))</f>
        <v/>
      </c>
      <c r="AS36" s="93" t="str">
        <f>IF($BB36="","",IF(AS$6=$BJ36,"◆",IF(AND(AS$6&gt;=$BF36,AS$6&lt;=$BG36),IF(AND(AS$6&gt;=$BD36,AS$6&lt;=$BE36),"実","外"),IF(AND(AS$6&gt;=$BD36,AS$6&lt;=$BE36),"計",IF(AND(AS$6&gt;=$BH36,AS$6&lt;=$BI36),"遅","")))))</f>
        <v/>
      </c>
      <c r="AT36" s="93" t="str">
        <f>IF($BB36="","",IF(AT$6=$BJ36,"◆",IF(AND(AT$6&gt;=$BF36,AT$6&lt;=$BG36),IF(AND(AT$6&gt;=$BD36,AT$6&lt;=$BE36),"実","外"),IF(AND(AT$6&gt;=$BD36,AT$6&lt;=$BE36),"計",IF(AND(AT$6&gt;=$BH36,AT$6&lt;=$BI36),"遅","")))))</f>
        <v/>
      </c>
      <c r="AU36" s="93" t="str">
        <f>IF($BB36="","",IF(AU$6=$BJ36,"◆",IF(AND(AU$6&gt;=$BF36,AU$6&lt;=$BG36),IF(AND(AU$6&gt;=$BD36,AU$6&lt;=$BE36),"実","外"),IF(AND(AU$6&gt;=$BD36,AU$6&lt;=$BE36),"計",IF(AND(AU$6&gt;=$BH36,AU$6&lt;=$BI36),"遅","")))))</f>
        <v/>
      </c>
      <c r="AV36" s="93" t="str">
        <f>IF($BB36="","",IF(AV$6=$BJ36,"◆",IF(AND(AV$6&gt;=$BF36,AV$6&lt;=$BG36),IF(AND(AV$6&gt;=$BD36,AV$6&lt;=$BE36),"実","外"),IF(AND(AV$6&gt;=$BD36,AV$6&lt;=$BE36),"計",IF(AND(AV$6&gt;=$BH36,AV$6&lt;=$BI36),"遅","")))))</f>
        <v/>
      </c>
      <c r="AW36" s="93" t="str">
        <f>IF($BB36="","",IF(AW$6=$BJ36,"◆",IF(AND(AW$6&gt;=$BF36,AW$6&lt;=$BG36),IF(AND(AW$6&gt;=$BD36,AW$6&lt;=$BE36),"実","外"),IF(AND(AW$6&gt;=$BD36,AW$6&lt;=$BE36),"計",IF(AND(AW$6&gt;=$BH36,AW$6&lt;=$BI36),"遅","")))))</f>
        <v/>
      </c>
      <c r="AX36" s="93" t="str">
        <f>IF($BB36="","",IF(AX$6=$BJ36,"◆",IF(AND(AX$6&gt;=$BF36,AX$6&lt;=$BG36),IF(AND(AX$6&gt;=$BD36,AX$6&lt;=$BE36),"実","外"),IF(AND(AX$6&gt;=$BD36,AX$6&lt;=$BE36),"計",IF(AND(AX$6&gt;=$BH36,AX$6&lt;=$BI36),"遅","")))))</f>
        <v/>
      </c>
      <c r="AY36" s="93" t="str">
        <f>IF($BB36="","",IF(AY$6=$BJ36,"◆",IF(AND(AY$6&gt;=$BF36,AY$6&lt;=$BG36),IF(AND(AY$6&gt;=$BD36,AY$6&lt;=$BE36),"実","外"),IF(AND(AY$6&gt;=$BD36,AY$6&lt;=$BE36),"計",IF(AND(AY$6&gt;=$BH36,AY$6&lt;=$BI36),"遅","")))))</f>
        <v/>
      </c>
      <c r="AZ36" s="93" t="str">
        <f>IF($BB36="","",IF(AZ$6=$BJ36,"◆",IF(AND(AZ$6&gt;=$BF36,AZ$6&lt;=$BG36),IF(AND(AZ$6&gt;=$BD36,AZ$6&lt;=$BE36),"実","外"),IF(AND(AZ$6&gt;=$BD36,AZ$6&lt;=$BE36),"計",IF(AND(AZ$6&gt;=$BH36,AZ$6&lt;=$BI36),"遅","")))))</f>
        <v/>
      </c>
      <c r="BB36" t="str">
        <f>IF(29&gt;COUNTIF(tblSteps[日別対象],1),"",IFERROR(MATCH(29,tblSteps[日別順位],0),""))</f>
        <v/>
      </c>
      <c r="BC36" t="str">
        <f>IF($BB36="","",INDEX(tblSteps[案件ID],$BB36)&amp;"")</f>
        <v/>
      </c>
      <c r="BD36" t="str">
        <f>IF($BB36="","",INDEX(tblSteps[計開],$BB36))</f>
        <v/>
      </c>
      <c r="BE36" t="str">
        <f>IF($BB36="","",INDEX(tblSteps[計終],$BB36))</f>
        <v/>
      </c>
      <c r="BF36" t="str">
        <f>IF($BB36="","",INDEX(tblSteps[実開],$BB36))</f>
        <v/>
      </c>
      <c r="BG36" t="str">
        <f>IF($BB36="","",INDEX(tblSteps[実終],$BB36))</f>
        <v/>
      </c>
      <c r="BH36" t="str">
        <f>IF($BB36="","",INDEX(tblSteps[遅開],$BB36))</f>
        <v/>
      </c>
      <c r="BI36" t="str">
        <f>IF($BB36="","",INDEX(tblSteps[遅終],$BB36))</f>
        <v/>
      </c>
      <c r="BJ36" t="str">
        <f>IF($BB36="","",INDEX(tblSteps[納期値],$BB36))</f>
        <v/>
      </c>
    </row>
    <row r="37" ht="18" customHeight="1">
      <c r="A37" s="89" t="str">
        <f>IF($BB37="","",INDEX(tblSteps[工程ID],$BB37)&amp;"")</f>
        <v/>
      </c>
      <c r="B37" s="88" t="str">
        <f>IF($BB37="","",IF($BC37=$BC36,"",$BC37&amp;" "&amp;INDEX(tblSteps[案件名],$BB37)))</f>
        <v/>
      </c>
      <c r="C37" s="88" t="str">
        <f>IF($BB37="","",INDEX(tblSteps[工程名],$BB37)&amp;"")</f>
        <v/>
      </c>
      <c r="D37" s="89" t="str">
        <f>IF($BB37="","",INDEX(tblSteps[担当],$BB37)&amp;"")</f>
        <v/>
      </c>
      <c r="E37" s="89" t="str">
        <f>IF($BB37="","",INDEX(tblSteps[状態],$BB37)&amp;"")</f>
        <v/>
      </c>
      <c r="F37" s="90" t="str">
        <f>IF($BB37="","",IF(ISNUMBER(INDEX(tblSteps[進捗率],$BB37)),INDEX(tblSteps[進捗率],$BB37),""))</f>
        <v/>
      </c>
      <c r="G37" s="91" t="str">
        <f>IF($BB37="","",IF(ISNUMBER(INDEX(tblSteps[計画開始日],$BB37)),INDEX(tblSteps[計画開始日],$BB37),"未入力"))</f>
        <v/>
      </c>
      <c r="H37" s="91" t="str">
        <f>IF($BB37="","",IF(ISNUMBER(INDEX(tblSteps[計画終了日],$BB37)),INDEX(tblSteps[計画終了日],$BB37),"未入力"))</f>
        <v/>
      </c>
      <c r="I37" s="91" t="str">
        <f>IF($BB37="","",IF(ISNUMBER(INDEX(tblSteps[完了見込日],$BB37)),INDEX(tblSteps[完了見込日],$BB37),""))</f>
        <v/>
      </c>
      <c r="J37" s="92" t="str">
        <f>IF($BB37="","",INDEX(tblSteps[注意短],$BB37)&amp;"")</f>
        <v/>
      </c>
      <c r="K37" s="93" t="str">
        <f>IF($BB37="","",IF(K$6=$BJ37,"◆",IF(AND(K$6&gt;=$BF37,K$6&lt;=$BG37),IF(AND(K$6&gt;=$BD37,K$6&lt;=$BE37),"実","外"),IF(AND(K$6&gt;=$BD37,K$6&lt;=$BE37),"計",IF(AND(K$6&gt;=$BH37,K$6&lt;=$BI37),"遅","")))))</f>
        <v/>
      </c>
      <c r="L37" s="93" t="str">
        <f>IF($BB37="","",IF(L$6=$BJ37,"◆",IF(AND(L$6&gt;=$BF37,L$6&lt;=$BG37),IF(AND(L$6&gt;=$BD37,L$6&lt;=$BE37),"実","外"),IF(AND(L$6&gt;=$BD37,L$6&lt;=$BE37),"計",IF(AND(L$6&gt;=$BH37,L$6&lt;=$BI37),"遅","")))))</f>
        <v/>
      </c>
      <c r="M37" s="93" t="str">
        <f>IF($BB37="","",IF(M$6=$BJ37,"◆",IF(AND(M$6&gt;=$BF37,M$6&lt;=$BG37),IF(AND(M$6&gt;=$BD37,M$6&lt;=$BE37),"実","外"),IF(AND(M$6&gt;=$BD37,M$6&lt;=$BE37),"計",IF(AND(M$6&gt;=$BH37,M$6&lt;=$BI37),"遅","")))))</f>
        <v/>
      </c>
      <c r="N37" s="93" t="str">
        <f>IF($BB37="","",IF(N$6=$BJ37,"◆",IF(AND(N$6&gt;=$BF37,N$6&lt;=$BG37),IF(AND(N$6&gt;=$BD37,N$6&lt;=$BE37),"実","外"),IF(AND(N$6&gt;=$BD37,N$6&lt;=$BE37),"計",IF(AND(N$6&gt;=$BH37,N$6&lt;=$BI37),"遅","")))))</f>
        <v/>
      </c>
      <c r="O37" s="93" t="str">
        <f>IF($BB37="","",IF(O$6=$BJ37,"◆",IF(AND(O$6&gt;=$BF37,O$6&lt;=$BG37),IF(AND(O$6&gt;=$BD37,O$6&lt;=$BE37),"実","外"),IF(AND(O$6&gt;=$BD37,O$6&lt;=$BE37),"計",IF(AND(O$6&gt;=$BH37,O$6&lt;=$BI37),"遅","")))))</f>
        <v/>
      </c>
      <c r="P37" s="93" t="str">
        <f>IF($BB37="","",IF(P$6=$BJ37,"◆",IF(AND(P$6&gt;=$BF37,P$6&lt;=$BG37),IF(AND(P$6&gt;=$BD37,P$6&lt;=$BE37),"実","外"),IF(AND(P$6&gt;=$BD37,P$6&lt;=$BE37),"計",IF(AND(P$6&gt;=$BH37,P$6&lt;=$BI37),"遅","")))))</f>
        <v/>
      </c>
      <c r="Q37" s="93" t="str">
        <f>IF($BB37="","",IF(Q$6=$BJ37,"◆",IF(AND(Q$6&gt;=$BF37,Q$6&lt;=$BG37),IF(AND(Q$6&gt;=$BD37,Q$6&lt;=$BE37),"実","外"),IF(AND(Q$6&gt;=$BD37,Q$6&lt;=$BE37),"計",IF(AND(Q$6&gt;=$BH37,Q$6&lt;=$BI37),"遅","")))))</f>
        <v/>
      </c>
      <c r="R37" s="93" t="str">
        <f>IF($BB37="","",IF(R$6=$BJ37,"◆",IF(AND(R$6&gt;=$BF37,R$6&lt;=$BG37),IF(AND(R$6&gt;=$BD37,R$6&lt;=$BE37),"実","外"),IF(AND(R$6&gt;=$BD37,R$6&lt;=$BE37),"計",IF(AND(R$6&gt;=$BH37,R$6&lt;=$BI37),"遅","")))))</f>
        <v/>
      </c>
      <c r="S37" s="93" t="str">
        <f>IF($BB37="","",IF(S$6=$BJ37,"◆",IF(AND(S$6&gt;=$BF37,S$6&lt;=$BG37),IF(AND(S$6&gt;=$BD37,S$6&lt;=$BE37),"実","外"),IF(AND(S$6&gt;=$BD37,S$6&lt;=$BE37),"計",IF(AND(S$6&gt;=$BH37,S$6&lt;=$BI37),"遅","")))))</f>
        <v/>
      </c>
      <c r="T37" s="93" t="str">
        <f>IF($BB37="","",IF(T$6=$BJ37,"◆",IF(AND(T$6&gt;=$BF37,T$6&lt;=$BG37),IF(AND(T$6&gt;=$BD37,T$6&lt;=$BE37),"実","外"),IF(AND(T$6&gt;=$BD37,T$6&lt;=$BE37),"計",IF(AND(T$6&gt;=$BH37,T$6&lt;=$BI37),"遅","")))))</f>
        <v/>
      </c>
      <c r="U37" s="93" t="str">
        <f>IF($BB37="","",IF(U$6=$BJ37,"◆",IF(AND(U$6&gt;=$BF37,U$6&lt;=$BG37),IF(AND(U$6&gt;=$BD37,U$6&lt;=$BE37),"実","外"),IF(AND(U$6&gt;=$BD37,U$6&lt;=$BE37),"計",IF(AND(U$6&gt;=$BH37,U$6&lt;=$BI37),"遅","")))))</f>
        <v/>
      </c>
      <c r="V37" s="93" t="str">
        <f>IF($BB37="","",IF(V$6=$BJ37,"◆",IF(AND(V$6&gt;=$BF37,V$6&lt;=$BG37),IF(AND(V$6&gt;=$BD37,V$6&lt;=$BE37),"実","外"),IF(AND(V$6&gt;=$BD37,V$6&lt;=$BE37),"計",IF(AND(V$6&gt;=$BH37,V$6&lt;=$BI37),"遅","")))))</f>
        <v/>
      </c>
      <c r="W37" s="93" t="str">
        <f>IF($BB37="","",IF(W$6=$BJ37,"◆",IF(AND(W$6&gt;=$BF37,W$6&lt;=$BG37),IF(AND(W$6&gt;=$BD37,W$6&lt;=$BE37),"実","外"),IF(AND(W$6&gt;=$BD37,W$6&lt;=$BE37),"計",IF(AND(W$6&gt;=$BH37,W$6&lt;=$BI37),"遅","")))))</f>
        <v/>
      </c>
      <c r="X37" s="93" t="str">
        <f>IF($BB37="","",IF(X$6=$BJ37,"◆",IF(AND(X$6&gt;=$BF37,X$6&lt;=$BG37),IF(AND(X$6&gt;=$BD37,X$6&lt;=$BE37),"実","外"),IF(AND(X$6&gt;=$BD37,X$6&lt;=$BE37),"計",IF(AND(X$6&gt;=$BH37,X$6&lt;=$BI37),"遅","")))))</f>
        <v/>
      </c>
      <c r="Y37" s="93" t="str">
        <f>IF($BB37="","",IF(Y$6=$BJ37,"◆",IF(AND(Y$6&gt;=$BF37,Y$6&lt;=$BG37),IF(AND(Y$6&gt;=$BD37,Y$6&lt;=$BE37),"実","外"),IF(AND(Y$6&gt;=$BD37,Y$6&lt;=$BE37),"計",IF(AND(Y$6&gt;=$BH37,Y$6&lt;=$BI37),"遅","")))))</f>
        <v/>
      </c>
      <c r="Z37" s="93" t="str">
        <f>IF($BB37="","",IF(Z$6=$BJ37,"◆",IF(AND(Z$6&gt;=$BF37,Z$6&lt;=$BG37),IF(AND(Z$6&gt;=$BD37,Z$6&lt;=$BE37),"実","外"),IF(AND(Z$6&gt;=$BD37,Z$6&lt;=$BE37),"計",IF(AND(Z$6&gt;=$BH37,Z$6&lt;=$BI37),"遅","")))))</f>
        <v/>
      </c>
      <c r="AA37" s="93" t="str">
        <f>IF($BB37="","",IF(AA$6=$BJ37,"◆",IF(AND(AA$6&gt;=$BF37,AA$6&lt;=$BG37),IF(AND(AA$6&gt;=$BD37,AA$6&lt;=$BE37),"実","外"),IF(AND(AA$6&gt;=$BD37,AA$6&lt;=$BE37),"計",IF(AND(AA$6&gt;=$BH37,AA$6&lt;=$BI37),"遅","")))))</f>
        <v/>
      </c>
      <c r="AB37" s="93" t="str">
        <f>IF($BB37="","",IF(AB$6=$BJ37,"◆",IF(AND(AB$6&gt;=$BF37,AB$6&lt;=$BG37),IF(AND(AB$6&gt;=$BD37,AB$6&lt;=$BE37),"実","外"),IF(AND(AB$6&gt;=$BD37,AB$6&lt;=$BE37),"計",IF(AND(AB$6&gt;=$BH37,AB$6&lt;=$BI37),"遅","")))))</f>
        <v/>
      </c>
      <c r="AC37" s="93" t="str">
        <f>IF($BB37="","",IF(AC$6=$BJ37,"◆",IF(AND(AC$6&gt;=$BF37,AC$6&lt;=$BG37),IF(AND(AC$6&gt;=$BD37,AC$6&lt;=$BE37),"実","外"),IF(AND(AC$6&gt;=$BD37,AC$6&lt;=$BE37),"計",IF(AND(AC$6&gt;=$BH37,AC$6&lt;=$BI37),"遅","")))))</f>
        <v/>
      </c>
      <c r="AD37" s="93" t="str">
        <f>IF($BB37="","",IF(AD$6=$BJ37,"◆",IF(AND(AD$6&gt;=$BF37,AD$6&lt;=$BG37),IF(AND(AD$6&gt;=$BD37,AD$6&lt;=$BE37),"実","外"),IF(AND(AD$6&gt;=$BD37,AD$6&lt;=$BE37),"計",IF(AND(AD$6&gt;=$BH37,AD$6&lt;=$BI37),"遅","")))))</f>
        <v/>
      </c>
      <c r="AE37" s="93" t="str">
        <f>IF($BB37="","",IF(AE$6=$BJ37,"◆",IF(AND(AE$6&gt;=$BF37,AE$6&lt;=$BG37),IF(AND(AE$6&gt;=$BD37,AE$6&lt;=$BE37),"実","外"),IF(AND(AE$6&gt;=$BD37,AE$6&lt;=$BE37),"計",IF(AND(AE$6&gt;=$BH37,AE$6&lt;=$BI37),"遅","")))))</f>
        <v/>
      </c>
      <c r="AF37" s="93" t="str">
        <f>IF($BB37="","",IF(AF$6=$BJ37,"◆",IF(AND(AF$6&gt;=$BF37,AF$6&lt;=$BG37),IF(AND(AF$6&gt;=$BD37,AF$6&lt;=$BE37),"実","外"),IF(AND(AF$6&gt;=$BD37,AF$6&lt;=$BE37),"計",IF(AND(AF$6&gt;=$BH37,AF$6&lt;=$BI37),"遅","")))))</f>
        <v/>
      </c>
      <c r="AG37" s="93" t="str">
        <f>IF($BB37="","",IF(AG$6=$BJ37,"◆",IF(AND(AG$6&gt;=$BF37,AG$6&lt;=$BG37),IF(AND(AG$6&gt;=$BD37,AG$6&lt;=$BE37),"実","外"),IF(AND(AG$6&gt;=$BD37,AG$6&lt;=$BE37),"計",IF(AND(AG$6&gt;=$BH37,AG$6&lt;=$BI37),"遅","")))))</f>
        <v/>
      </c>
      <c r="AH37" s="93" t="str">
        <f>IF($BB37="","",IF(AH$6=$BJ37,"◆",IF(AND(AH$6&gt;=$BF37,AH$6&lt;=$BG37),IF(AND(AH$6&gt;=$BD37,AH$6&lt;=$BE37),"実","外"),IF(AND(AH$6&gt;=$BD37,AH$6&lt;=$BE37),"計",IF(AND(AH$6&gt;=$BH37,AH$6&lt;=$BI37),"遅","")))))</f>
        <v/>
      </c>
      <c r="AI37" s="93" t="str">
        <f>IF($BB37="","",IF(AI$6=$BJ37,"◆",IF(AND(AI$6&gt;=$BF37,AI$6&lt;=$BG37),IF(AND(AI$6&gt;=$BD37,AI$6&lt;=$BE37),"実","外"),IF(AND(AI$6&gt;=$BD37,AI$6&lt;=$BE37),"計",IF(AND(AI$6&gt;=$BH37,AI$6&lt;=$BI37),"遅","")))))</f>
        <v/>
      </c>
      <c r="AJ37" s="93" t="str">
        <f>IF($BB37="","",IF(AJ$6=$BJ37,"◆",IF(AND(AJ$6&gt;=$BF37,AJ$6&lt;=$BG37),IF(AND(AJ$6&gt;=$BD37,AJ$6&lt;=$BE37),"実","外"),IF(AND(AJ$6&gt;=$BD37,AJ$6&lt;=$BE37),"計",IF(AND(AJ$6&gt;=$BH37,AJ$6&lt;=$BI37),"遅","")))))</f>
        <v/>
      </c>
      <c r="AK37" s="93" t="str">
        <f>IF($BB37="","",IF(AK$6=$BJ37,"◆",IF(AND(AK$6&gt;=$BF37,AK$6&lt;=$BG37),IF(AND(AK$6&gt;=$BD37,AK$6&lt;=$BE37),"実","外"),IF(AND(AK$6&gt;=$BD37,AK$6&lt;=$BE37),"計",IF(AND(AK$6&gt;=$BH37,AK$6&lt;=$BI37),"遅","")))))</f>
        <v/>
      </c>
      <c r="AL37" s="93" t="str">
        <f>IF($BB37="","",IF(AL$6=$BJ37,"◆",IF(AND(AL$6&gt;=$BF37,AL$6&lt;=$BG37),IF(AND(AL$6&gt;=$BD37,AL$6&lt;=$BE37),"実","外"),IF(AND(AL$6&gt;=$BD37,AL$6&lt;=$BE37),"計",IF(AND(AL$6&gt;=$BH37,AL$6&lt;=$BI37),"遅","")))))</f>
        <v/>
      </c>
      <c r="AM37" s="93" t="str">
        <f>IF($BB37="","",IF(AM$6=$BJ37,"◆",IF(AND(AM$6&gt;=$BF37,AM$6&lt;=$BG37),IF(AND(AM$6&gt;=$BD37,AM$6&lt;=$BE37),"実","外"),IF(AND(AM$6&gt;=$BD37,AM$6&lt;=$BE37),"計",IF(AND(AM$6&gt;=$BH37,AM$6&lt;=$BI37),"遅","")))))</f>
        <v/>
      </c>
      <c r="AN37" s="93" t="str">
        <f>IF($BB37="","",IF(AN$6=$BJ37,"◆",IF(AND(AN$6&gt;=$BF37,AN$6&lt;=$BG37),IF(AND(AN$6&gt;=$BD37,AN$6&lt;=$BE37),"実","外"),IF(AND(AN$6&gt;=$BD37,AN$6&lt;=$BE37),"計",IF(AND(AN$6&gt;=$BH37,AN$6&lt;=$BI37),"遅","")))))</f>
        <v/>
      </c>
      <c r="AO37" s="93" t="str">
        <f>IF($BB37="","",IF(AO$6=$BJ37,"◆",IF(AND(AO$6&gt;=$BF37,AO$6&lt;=$BG37),IF(AND(AO$6&gt;=$BD37,AO$6&lt;=$BE37),"実","外"),IF(AND(AO$6&gt;=$BD37,AO$6&lt;=$BE37),"計",IF(AND(AO$6&gt;=$BH37,AO$6&lt;=$BI37),"遅","")))))</f>
        <v/>
      </c>
      <c r="AP37" s="93" t="str">
        <f>IF($BB37="","",IF(AP$6=$BJ37,"◆",IF(AND(AP$6&gt;=$BF37,AP$6&lt;=$BG37),IF(AND(AP$6&gt;=$BD37,AP$6&lt;=$BE37),"実","外"),IF(AND(AP$6&gt;=$BD37,AP$6&lt;=$BE37),"計",IF(AND(AP$6&gt;=$BH37,AP$6&lt;=$BI37),"遅","")))))</f>
        <v/>
      </c>
      <c r="AQ37" s="93" t="str">
        <f>IF($BB37="","",IF(AQ$6=$BJ37,"◆",IF(AND(AQ$6&gt;=$BF37,AQ$6&lt;=$BG37),IF(AND(AQ$6&gt;=$BD37,AQ$6&lt;=$BE37),"実","外"),IF(AND(AQ$6&gt;=$BD37,AQ$6&lt;=$BE37),"計",IF(AND(AQ$6&gt;=$BH37,AQ$6&lt;=$BI37),"遅","")))))</f>
        <v/>
      </c>
      <c r="AR37" s="93" t="str">
        <f>IF($BB37="","",IF(AR$6=$BJ37,"◆",IF(AND(AR$6&gt;=$BF37,AR$6&lt;=$BG37),IF(AND(AR$6&gt;=$BD37,AR$6&lt;=$BE37),"実","外"),IF(AND(AR$6&gt;=$BD37,AR$6&lt;=$BE37),"計",IF(AND(AR$6&gt;=$BH37,AR$6&lt;=$BI37),"遅","")))))</f>
        <v/>
      </c>
      <c r="AS37" s="93" t="str">
        <f>IF($BB37="","",IF(AS$6=$BJ37,"◆",IF(AND(AS$6&gt;=$BF37,AS$6&lt;=$BG37),IF(AND(AS$6&gt;=$BD37,AS$6&lt;=$BE37),"実","外"),IF(AND(AS$6&gt;=$BD37,AS$6&lt;=$BE37),"計",IF(AND(AS$6&gt;=$BH37,AS$6&lt;=$BI37),"遅","")))))</f>
        <v/>
      </c>
      <c r="AT37" s="93" t="str">
        <f>IF($BB37="","",IF(AT$6=$BJ37,"◆",IF(AND(AT$6&gt;=$BF37,AT$6&lt;=$BG37),IF(AND(AT$6&gt;=$BD37,AT$6&lt;=$BE37),"実","外"),IF(AND(AT$6&gt;=$BD37,AT$6&lt;=$BE37),"計",IF(AND(AT$6&gt;=$BH37,AT$6&lt;=$BI37),"遅","")))))</f>
        <v/>
      </c>
      <c r="AU37" s="93" t="str">
        <f>IF($BB37="","",IF(AU$6=$BJ37,"◆",IF(AND(AU$6&gt;=$BF37,AU$6&lt;=$BG37),IF(AND(AU$6&gt;=$BD37,AU$6&lt;=$BE37),"実","外"),IF(AND(AU$6&gt;=$BD37,AU$6&lt;=$BE37),"計",IF(AND(AU$6&gt;=$BH37,AU$6&lt;=$BI37),"遅","")))))</f>
        <v/>
      </c>
      <c r="AV37" s="93" t="str">
        <f>IF($BB37="","",IF(AV$6=$BJ37,"◆",IF(AND(AV$6&gt;=$BF37,AV$6&lt;=$BG37),IF(AND(AV$6&gt;=$BD37,AV$6&lt;=$BE37),"実","外"),IF(AND(AV$6&gt;=$BD37,AV$6&lt;=$BE37),"計",IF(AND(AV$6&gt;=$BH37,AV$6&lt;=$BI37),"遅","")))))</f>
        <v/>
      </c>
      <c r="AW37" s="93" t="str">
        <f>IF($BB37="","",IF(AW$6=$BJ37,"◆",IF(AND(AW$6&gt;=$BF37,AW$6&lt;=$BG37),IF(AND(AW$6&gt;=$BD37,AW$6&lt;=$BE37),"実","外"),IF(AND(AW$6&gt;=$BD37,AW$6&lt;=$BE37),"計",IF(AND(AW$6&gt;=$BH37,AW$6&lt;=$BI37),"遅","")))))</f>
        <v/>
      </c>
      <c r="AX37" s="93" t="str">
        <f>IF($BB37="","",IF(AX$6=$BJ37,"◆",IF(AND(AX$6&gt;=$BF37,AX$6&lt;=$BG37),IF(AND(AX$6&gt;=$BD37,AX$6&lt;=$BE37),"実","外"),IF(AND(AX$6&gt;=$BD37,AX$6&lt;=$BE37),"計",IF(AND(AX$6&gt;=$BH37,AX$6&lt;=$BI37),"遅","")))))</f>
        <v/>
      </c>
      <c r="AY37" s="93" t="str">
        <f>IF($BB37="","",IF(AY$6=$BJ37,"◆",IF(AND(AY$6&gt;=$BF37,AY$6&lt;=$BG37),IF(AND(AY$6&gt;=$BD37,AY$6&lt;=$BE37),"実","外"),IF(AND(AY$6&gt;=$BD37,AY$6&lt;=$BE37),"計",IF(AND(AY$6&gt;=$BH37,AY$6&lt;=$BI37),"遅","")))))</f>
        <v/>
      </c>
      <c r="AZ37" s="93" t="str">
        <f>IF($BB37="","",IF(AZ$6=$BJ37,"◆",IF(AND(AZ$6&gt;=$BF37,AZ$6&lt;=$BG37),IF(AND(AZ$6&gt;=$BD37,AZ$6&lt;=$BE37),"実","外"),IF(AND(AZ$6&gt;=$BD37,AZ$6&lt;=$BE37),"計",IF(AND(AZ$6&gt;=$BH37,AZ$6&lt;=$BI37),"遅","")))))</f>
        <v/>
      </c>
      <c r="BB37" t="str">
        <f>IF(30&gt;COUNTIF(tblSteps[日別対象],1),"",IFERROR(MATCH(30,tblSteps[日別順位],0),""))</f>
        <v/>
      </c>
      <c r="BC37" t="str">
        <f>IF($BB37="","",INDEX(tblSteps[案件ID],$BB37)&amp;"")</f>
        <v/>
      </c>
      <c r="BD37" t="str">
        <f>IF($BB37="","",INDEX(tblSteps[計開],$BB37))</f>
        <v/>
      </c>
      <c r="BE37" t="str">
        <f>IF($BB37="","",INDEX(tblSteps[計終],$BB37))</f>
        <v/>
      </c>
      <c r="BF37" t="str">
        <f>IF($BB37="","",INDEX(tblSteps[実開],$BB37))</f>
        <v/>
      </c>
      <c r="BG37" t="str">
        <f>IF($BB37="","",INDEX(tblSteps[実終],$BB37))</f>
        <v/>
      </c>
      <c r="BH37" t="str">
        <f>IF($BB37="","",INDEX(tblSteps[遅開],$BB37))</f>
        <v/>
      </c>
      <c r="BI37" t="str">
        <f>IF($BB37="","",INDEX(tblSteps[遅終],$BB37))</f>
        <v/>
      </c>
      <c r="BJ37" t="str">
        <f>IF($BB37="","",INDEX(tblSteps[納期値],$BB37))</f>
        <v/>
      </c>
    </row>
    <row r="38" ht="18" customHeight="1">
      <c r="A38" s="89" t="str">
        <f>IF($BB38="","",INDEX(tblSteps[工程ID],$BB38)&amp;"")</f>
        <v/>
      </c>
      <c r="B38" s="88" t="str">
        <f>IF($BB38="","",IF($BC38=$BC37,"",$BC38&amp;" "&amp;INDEX(tblSteps[案件名],$BB38)))</f>
        <v/>
      </c>
      <c r="C38" s="88" t="str">
        <f>IF($BB38="","",INDEX(tblSteps[工程名],$BB38)&amp;"")</f>
        <v/>
      </c>
      <c r="D38" s="89" t="str">
        <f>IF($BB38="","",INDEX(tblSteps[担当],$BB38)&amp;"")</f>
        <v/>
      </c>
      <c r="E38" s="89" t="str">
        <f>IF($BB38="","",INDEX(tblSteps[状態],$BB38)&amp;"")</f>
        <v/>
      </c>
      <c r="F38" s="90" t="str">
        <f>IF($BB38="","",IF(ISNUMBER(INDEX(tblSteps[進捗率],$BB38)),INDEX(tblSteps[進捗率],$BB38),""))</f>
        <v/>
      </c>
      <c r="G38" s="91" t="str">
        <f>IF($BB38="","",IF(ISNUMBER(INDEX(tblSteps[計画開始日],$BB38)),INDEX(tblSteps[計画開始日],$BB38),"未入力"))</f>
        <v/>
      </c>
      <c r="H38" s="91" t="str">
        <f>IF($BB38="","",IF(ISNUMBER(INDEX(tblSteps[計画終了日],$BB38)),INDEX(tblSteps[計画終了日],$BB38),"未入力"))</f>
        <v/>
      </c>
      <c r="I38" s="91" t="str">
        <f>IF($BB38="","",IF(ISNUMBER(INDEX(tblSteps[完了見込日],$BB38)),INDEX(tblSteps[完了見込日],$BB38),""))</f>
        <v/>
      </c>
      <c r="J38" s="92" t="str">
        <f>IF($BB38="","",INDEX(tblSteps[注意短],$BB38)&amp;"")</f>
        <v/>
      </c>
      <c r="K38" s="93" t="str">
        <f>IF($BB38="","",IF(K$6=$BJ38,"◆",IF(AND(K$6&gt;=$BF38,K$6&lt;=$BG38),IF(AND(K$6&gt;=$BD38,K$6&lt;=$BE38),"実","外"),IF(AND(K$6&gt;=$BD38,K$6&lt;=$BE38),"計",IF(AND(K$6&gt;=$BH38,K$6&lt;=$BI38),"遅","")))))</f>
        <v/>
      </c>
      <c r="L38" s="93" t="str">
        <f>IF($BB38="","",IF(L$6=$BJ38,"◆",IF(AND(L$6&gt;=$BF38,L$6&lt;=$BG38),IF(AND(L$6&gt;=$BD38,L$6&lt;=$BE38),"実","外"),IF(AND(L$6&gt;=$BD38,L$6&lt;=$BE38),"計",IF(AND(L$6&gt;=$BH38,L$6&lt;=$BI38),"遅","")))))</f>
        <v/>
      </c>
      <c r="M38" s="93" t="str">
        <f>IF($BB38="","",IF(M$6=$BJ38,"◆",IF(AND(M$6&gt;=$BF38,M$6&lt;=$BG38),IF(AND(M$6&gt;=$BD38,M$6&lt;=$BE38),"実","外"),IF(AND(M$6&gt;=$BD38,M$6&lt;=$BE38),"計",IF(AND(M$6&gt;=$BH38,M$6&lt;=$BI38),"遅","")))))</f>
        <v/>
      </c>
      <c r="N38" s="93" t="str">
        <f>IF($BB38="","",IF(N$6=$BJ38,"◆",IF(AND(N$6&gt;=$BF38,N$6&lt;=$BG38),IF(AND(N$6&gt;=$BD38,N$6&lt;=$BE38),"実","外"),IF(AND(N$6&gt;=$BD38,N$6&lt;=$BE38),"計",IF(AND(N$6&gt;=$BH38,N$6&lt;=$BI38),"遅","")))))</f>
        <v/>
      </c>
      <c r="O38" s="93" t="str">
        <f>IF($BB38="","",IF(O$6=$BJ38,"◆",IF(AND(O$6&gt;=$BF38,O$6&lt;=$BG38),IF(AND(O$6&gt;=$BD38,O$6&lt;=$BE38),"実","外"),IF(AND(O$6&gt;=$BD38,O$6&lt;=$BE38),"計",IF(AND(O$6&gt;=$BH38,O$6&lt;=$BI38),"遅","")))))</f>
        <v/>
      </c>
      <c r="P38" s="93" t="str">
        <f>IF($BB38="","",IF(P$6=$BJ38,"◆",IF(AND(P$6&gt;=$BF38,P$6&lt;=$BG38),IF(AND(P$6&gt;=$BD38,P$6&lt;=$BE38),"実","外"),IF(AND(P$6&gt;=$BD38,P$6&lt;=$BE38),"計",IF(AND(P$6&gt;=$BH38,P$6&lt;=$BI38),"遅","")))))</f>
        <v/>
      </c>
      <c r="Q38" s="93" t="str">
        <f>IF($BB38="","",IF(Q$6=$BJ38,"◆",IF(AND(Q$6&gt;=$BF38,Q$6&lt;=$BG38),IF(AND(Q$6&gt;=$BD38,Q$6&lt;=$BE38),"実","外"),IF(AND(Q$6&gt;=$BD38,Q$6&lt;=$BE38),"計",IF(AND(Q$6&gt;=$BH38,Q$6&lt;=$BI38),"遅","")))))</f>
        <v/>
      </c>
      <c r="R38" s="93" t="str">
        <f>IF($BB38="","",IF(R$6=$BJ38,"◆",IF(AND(R$6&gt;=$BF38,R$6&lt;=$BG38),IF(AND(R$6&gt;=$BD38,R$6&lt;=$BE38),"実","外"),IF(AND(R$6&gt;=$BD38,R$6&lt;=$BE38),"計",IF(AND(R$6&gt;=$BH38,R$6&lt;=$BI38),"遅","")))))</f>
        <v/>
      </c>
      <c r="S38" s="93" t="str">
        <f>IF($BB38="","",IF(S$6=$BJ38,"◆",IF(AND(S$6&gt;=$BF38,S$6&lt;=$BG38),IF(AND(S$6&gt;=$BD38,S$6&lt;=$BE38),"実","外"),IF(AND(S$6&gt;=$BD38,S$6&lt;=$BE38),"計",IF(AND(S$6&gt;=$BH38,S$6&lt;=$BI38),"遅","")))))</f>
        <v/>
      </c>
      <c r="T38" s="93" t="str">
        <f>IF($BB38="","",IF(T$6=$BJ38,"◆",IF(AND(T$6&gt;=$BF38,T$6&lt;=$BG38),IF(AND(T$6&gt;=$BD38,T$6&lt;=$BE38),"実","外"),IF(AND(T$6&gt;=$BD38,T$6&lt;=$BE38),"計",IF(AND(T$6&gt;=$BH38,T$6&lt;=$BI38),"遅","")))))</f>
        <v/>
      </c>
      <c r="U38" s="93" t="str">
        <f>IF($BB38="","",IF(U$6=$BJ38,"◆",IF(AND(U$6&gt;=$BF38,U$6&lt;=$BG38),IF(AND(U$6&gt;=$BD38,U$6&lt;=$BE38),"実","外"),IF(AND(U$6&gt;=$BD38,U$6&lt;=$BE38),"計",IF(AND(U$6&gt;=$BH38,U$6&lt;=$BI38),"遅","")))))</f>
        <v/>
      </c>
      <c r="V38" s="93" t="str">
        <f>IF($BB38="","",IF(V$6=$BJ38,"◆",IF(AND(V$6&gt;=$BF38,V$6&lt;=$BG38),IF(AND(V$6&gt;=$BD38,V$6&lt;=$BE38),"実","外"),IF(AND(V$6&gt;=$BD38,V$6&lt;=$BE38),"計",IF(AND(V$6&gt;=$BH38,V$6&lt;=$BI38),"遅","")))))</f>
        <v/>
      </c>
      <c r="W38" s="93" t="str">
        <f>IF($BB38="","",IF(W$6=$BJ38,"◆",IF(AND(W$6&gt;=$BF38,W$6&lt;=$BG38),IF(AND(W$6&gt;=$BD38,W$6&lt;=$BE38),"実","外"),IF(AND(W$6&gt;=$BD38,W$6&lt;=$BE38),"計",IF(AND(W$6&gt;=$BH38,W$6&lt;=$BI38),"遅","")))))</f>
        <v/>
      </c>
      <c r="X38" s="93" t="str">
        <f>IF($BB38="","",IF(X$6=$BJ38,"◆",IF(AND(X$6&gt;=$BF38,X$6&lt;=$BG38),IF(AND(X$6&gt;=$BD38,X$6&lt;=$BE38),"実","外"),IF(AND(X$6&gt;=$BD38,X$6&lt;=$BE38),"計",IF(AND(X$6&gt;=$BH38,X$6&lt;=$BI38),"遅","")))))</f>
        <v/>
      </c>
      <c r="Y38" s="93" t="str">
        <f>IF($BB38="","",IF(Y$6=$BJ38,"◆",IF(AND(Y$6&gt;=$BF38,Y$6&lt;=$BG38),IF(AND(Y$6&gt;=$BD38,Y$6&lt;=$BE38),"実","外"),IF(AND(Y$6&gt;=$BD38,Y$6&lt;=$BE38),"計",IF(AND(Y$6&gt;=$BH38,Y$6&lt;=$BI38),"遅","")))))</f>
        <v/>
      </c>
      <c r="Z38" s="93" t="str">
        <f>IF($BB38="","",IF(Z$6=$BJ38,"◆",IF(AND(Z$6&gt;=$BF38,Z$6&lt;=$BG38),IF(AND(Z$6&gt;=$BD38,Z$6&lt;=$BE38),"実","外"),IF(AND(Z$6&gt;=$BD38,Z$6&lt;=$BE38),"計",IF(AND(Z$6&gt;=$BH38,Z$6&lt;=$BI38),"遅","")))))</f>
        <v/>
      </c>
      <c r="AA38" s="93" t="str">
        <f>IF($BB38="","",IF(AA$6=$BJ38,"◆",IF(AND(AA$6&gt;=$BF38,AA$6&lt;=$BG38),IF(AND(AA$6&gt;=$BD38,AA$6&lt;=$BE38),"実","外"),IF(AND(AA$6&gt;=$BD38,AA$6&lt;=$BE38),"計",IF(AND(AA$6&gt;=$BH38,AA$6&lt;=$BI38),"遅","")))))</f>
        <v/>
      </c>
      <c r="AB38" s="93" t="str">
        <f>IF($BB38="","",IF(AB$6=$BJ38,"◆",IF(AND(AB$6&gt;=$BF38,AB$6&lt;=$BG38),IF(AND(AB$6&gt;=$BD38,AB$6&lt;=$BE38),"実","外"),IF(AND(AB$6&gt;=$BD38,AB$6&lt;=$BE38),"計",IF(AND(AB$6&gt;=$BH38,AB$6&lt;=$BI38),"遅","")))))</f>
        <v/>
      </c>
      <c r="AC38" s="93" t="str">
        <f>IF($BB38="","",IF(AC$6=$BJ38,"◆",IF(AND(AC$6&gt;=$BF38,AC$6&lt;=$BG38),IF(AND(AC$6&gt;=$BD38,AC$6&lt;=$BE38),"実","外"),IF(AND(AC$6&gt;=$BD38,AC$6&lt;=$BE38),"計",IF(AND(AC$6&gt;=$BH38,AC$6&lt;=$BI38),"遅","")))))</f>
        <v/>
      </c>
      <c r="AD38" s="93" t="str">
        <f>IF($BB38="","",IF(AD$6=$BJ38,"◆",IF(AND(AD$6&gt;=$BF38,AD$6&lt;=$BG38),IF(AND(AD$6&gt;=$BD38,AD$6&lt;=$BE38),"実","外"),IF(AND(AD$6&gt;=$BD38,AD$6&lt;=$BE38),"計",IF(AND(AD$6&gt;=$BH38,AD$6&lt;=$BI38),"遅","")))))</f>
        <v/>
      </c>
      <c r="AE38" s="93" t="str">
        <f>IF($BB38="","",IF(AE$6=$BJ38,"◆",IF(AND(AE$6&gt;=$BF38,AE$6&lt;=$BG38),IF(AND(AE$6&gt;=$BD38,AE$6&lt;=$BE38),"実","外"),IF(AND(AE$6&gt;=$BD38,AE$6&lt;=$BE38),"計",IF(AND(AE$6&gt;=$BH38,AE$6&lt;=$BI38),"遅","")))))</f>
        <v/>
      </c>
      <c r="AF38" s="93" t="str">
        <f>IF($BB38="","",IF(AF$6=$BJ38,"◆",IF(AND(AF$6&gt;=$BF38,AF$6&lt;=$BG38),IF(AND(AF$6&gt;=$BD38,AF$6&lt;=$BE38),"実","外"),IF(AND(AF$6&gt;=$BD38,AF$6&lt;=$BE38),"計",IF(AND(AF$6&gt;=$BH38,AF$6&lt;=$BI38),"遅","")))))</f>
        <v/>
      </c>
      <c r="AG38" s="93" t="str">
        <f>IF($BB38="","",IF(AG$6=$BJ38,"◆",IF(AND(AG$6&gt;=$BF38,AG$6&lt;=$BG38),IF(AND(AG$6&gt;=$BD38,AG$6&lt;=$BE38),"実","外"),IF(AND(AG$6&gt;=$BD38,AG$6&lt;=$BE38),"計",IF(AND(AG$6&gt;=$BH38,AG$6&lt;=$BI38),"遅","")))))</f>
        <v/>
      </c>
      <c r="AH38" s="93" t="str">
        <f>IF($BB38="","",IF(AH$6=$BJ38,"◆",IF(AND(AH$6&gt;=$BF38,AH$6&lt;=$BG38),IF(AND(AH$6&gt;=$BD38,AH$6&lt;=$BE38),"実","外"),IF(AND(AH$6&gt;=$BD38,AH$6&lt;=$BE38),"計",IF(AND(AH$6&gt;=$BH38,AH$6&lt;=$BI38),"遅","")))))</f>
        <v/>
      </c>
      <c r="AI38" s="93" t="str">
        <f>IF($BB38="","",IF(AI$6=$BJ38,"◆",IF(AND(AI$6&gt;=$BF38,AI$6&lt;=$BG38),IF(AND(AI$6&gt;=$BD38,AI$6&lt;=$BE38),"実","外"),IF(AND(AI$6&gt;=$BD38,AI$6&lt;=$BE38),"計",IF(AND(AI$6&gt;=$BH38,AI$6&lt;=$BI38),"遅","")))))</f>
        <v/>
      </c>
      <c r="AJ38" s="93" t="str">
        <f>IF($BB38="","",IF(AJ$6=$BJ38,"◆",IF(AND(AJ$6&gt;=$BF38,AJ$6&lt;=$BG38),IF(AND(AJ$6&gt;=$BD38,AJ$6&lt;=$BE38),"実","外"),IF(AND(AJ$6&gt;=$BD38,AJ$6&lt;=$BE38),"計",IF(AND(AJ$6&gt;=$BH38,AJ$6&lt;=$BI38),"遅","")))))</f>
        <v/>
      </c>
      <c r="AK38" s="93" t="str">
        <f>IF($BB38="","",IF(AK$6=$BJ38,"◆",IF(AND(AK$6&gt;=$BF38,AK$6&lt;=$BG38),IF(AND(AK$6&gt;=$BD38,AK$6&lt;=$BE38),"実","外"),IF(AND(AK$6&gt;=$BD38,AK$6&lt;=$BE38),"計",IF(AND(AK$6&gt;=$BH38,AK$6&lt;=$BI38),"遅","")))))</f>
        <v/>
      </c>
      <c r="AL38" s="93" t="str">
        <f>IF($BB38="","",IF(AL$6=$BJ38,"◆",IF(AND(AL$6&gt;=$BF38,AL$6&lt;=$BG38),IF(AND(AL$6&gt;=$BD38,AL$6&lt;=$BE38),"実","外"),IF(AND(AL$6&gt;=$BD38,AL$6&lt;=$BE38),"計",IF(AND(AL$6&gt;=$BH38,AL$6&lt;=$BI38),"遅","")))))</f>
        <v/>
      </c>
      <c r="AM38" s="93" t="str">
        <f>IF($BB38="","",IF(AM$6=$BJ38,"◆",IF(AND(AM$6&gt;=$BF38,AM$6&lt;=$BG38),IF(AND(AM$6&gt;=$BD38,AM$6&lt;=$BE38),"実","外"),IF(AND(AM$6&gt;=$BD38,AM$6&lt;=$BE38),"計",IF(AND(AM$6&gt;=$BH38,AM$6&lt;=$BI38),"遅","")))))</f>
        <v/>
      </c>
      <c r="AN38" s="93" t="str">
        <f>IF($BB38="","",IF(AN$6=$BJ38,"◆",IF(AND(AN$6&gt;=$BF38,AN$6&lt;=$BG38),IF(AND(AN$6&gt;=$BD38,AN$6&lt;=$BE38),"実","外"),IF(AND(AN$6&gt;=$BD38,AN$6&lt;=$BE38),"計",IF(AND(AN$6&gt;=$BH38,AN$6&lt;=$BI38),"遅","")))))</f>
        <v/>
      </c>
      <c r="AO38" s="93" t="str">
        <f>IF($BB38="","",IF(AO$6=$BJ38,"◆",IF(AND(AO$6&gt;=$BF38,AO$6&lt;=$BG38),IF(AND(AO$6&gt;=$BD38,AO$6&lt;=$BE38),"実","外"),IF(AND(AO$6&gt;=$BD38,AO$6&lt;=$BE38),"計",IF(AND(AO$6&gt;=$BH38,AO$6&lt;=$BI38),"遅","")))))</f>
        <v/>
      </c>
      <c r="AP38" s="93" t="str">
        <f>IF($BB38="","",IF(AP$6=$BJ38,"◆",IF(AND(AP$6&gt;=$BF38,AP$6&lt;=$BG38),IF(AND(AP$6&gt;=$BD38,AP$6&lt;=$BE38),"実","外"),IF(AND(AP$6&gt;=$BD38,AP$6&lt;=$BE38),"計",IF(AND(AP$6&gt;=$BH38,AP$6&lt;=$BI38),"遅","")))))</f>
        <v/>
      </c>
      <c r="AQ38" s="93" t="str">
        <f>IF($BB38="","",IF(AQ$6=$BJ38,"◆",IF(AND(AQ$6&gt;=$BF38,AQ$6&lt;=$BG38),IF(AND(AQ$6&gt;=$BD38,AQ$6&lt;=$BE38),"実","外"),IF(AND(AQ$6&gt;=$BD38,AQ$6&lt;=$BE38),"計",IF(AND(AQ$6&gt;=$BH38,AQ$6&lt;=$BI38),"遅","")))))</f>
        <v/>
      </c>
      <c r="AR38" s="93" t="str">
        <f>IF($BB38="","",IF(AR$6=$BJ38,"◆",IF(AND(AR$6&gt;=$BF38,AR$6&lt;=$BG38),IF(AND(AR$6&gt;=$BD38,AR$6&lt;=$BE38),"実","外"),IF(AND(AR$6&gt;=$BD38,AR$6&lt;=$BE38),"計",IF(AND(AR$6&gt;=$BH38,AR$6&lt;=$BI38),"遅","")))))</f>
        <v/>
      </c>
      <c r="AS38" s="93" t="str">
        <f>IF($BB38="","",IF(AS$6=$BJ38,"◆",IF(AND(AS$6&gt;=$BF38,AS$6&lt;=$BG38),IF(AND(AS$6&gt;=$BD38,AS$6&lt;=$BE38),"実","外"),IF(AND(AS$6&gt;=$BD38,AS$6&lt;=$BE38),"計",IF(AND(AS$6&gt;=$BH38,AS$6&lt;=$BI38),"遅","")))))</f>
        <v/>
      </c>
      <c r="AT38" s="93" t="str">
        <f>IF($BB38="","",IF(AT$6=$BJ38,"◆",IF(AND(AT$6&gt;=$BF38,AT$6&lt;=$BG38),IF(AND(AT$6&gt;=$BD38,AT$6&lt;=$BE38),"実","外"),IF(AND(AT$6&gt;=$BD38,AT$6&lt;=$BE38),"計",IF(AND(AT$6&gt;=$BH38,AT$6&lt;=$BI38),"遅","")))))</f>
        <v/>
      </c>
      <c r="AU38" s="93" t="str">
        <f>IF($BB38="","",IF(AU$6=$BJ38,"◆",IF(AND(AU$6&gt;=$BF38,AU$6&lt;=$BG38),IF(AND(AU$6&gt;=$BD38,AU$6&lt;=$BE38),"実","外"),IF(AND(AU$6&gt;=$BD38,AU$6&lt;=$BE38),"計",IF(AND(AU$6&gt;=$BH38,AU$6&lt;=$BI38),"遅","")))))</f>
        <v/>
      </c>
      <c r="AV38" s="93" t="str">
        <f>IF($BB38="","",IF(AV$6=$BJ38,"◆",IF(AND(AV$6&gt;=$BF38,AV$6&lt;=$BG38),IF(AND(AV$6&gt;=$BD38,AV$6&lt;=$BE38),"実","外"),IF(AND(AV$6&gt;=$BD38,AV$6&lt;=$BE38),"計",IF(AND(AV$6&gt;=$BH38,AV$6&lt;=$BI38),"遅","")))))</f>
        <v/>
      </c>
      <c r="AW38" s="93" t="str">
        <f>IF($BB38="","",IF(AW$6=$BJ38,"◆",IF(AND(AW$6&gt;=$BF38,AW$6&lt;=$BG38),IF(AND(AW$6&gt;=$BD38,AW$6&lt;=$BE38),"実","外"),IF(AND(AW$6&gt;=$BD38,AW$6&lt;=$BE38),"計",IF(AND(AW$6&gt;=$BH38,AW$6&lt;=$BI38),"遅","")))))</f>
        <v/>
      </c>
      <c r="AX38" s="93" t="str">
        <f>IF($BB38="","",IF(AX$6=$BJ38,"◆",IF(AND(AX$6&gt;=$BF38,AX$6&lt;=$BG38),IF(AND(AX$6&gt;=$BD38,AX$6&lt;=$BE38),"実","外"),IF(AND(AX$6&gt;=$BD38,AX$6&lt;=$BE38),"計",IF(AND(AX$6&gt;=$BH38,AX$6&lt;=$BI38),"遅","")))))</f>
        <v/>
      </c>
      <c r="AY38" s="93" t="str">
        <f>IF($BB38="","",IF(AY$6=$BJ38,"◆",IF(AND(AY$6&gt;=$BF38,AY$6&lt;=$BG38),IF(AND(AY$6&gt;=$BD38,AY$6&lt;=$BE38),"実","外"),IF(AND(AY$6&gt;=$BD38,AY$6&lt;=$BE38),"計",IF(AND(AY$6&gt;=$BH38,AY$6&lt;=$BI38),"遅","")))))</f>
        <v/>
      </c>
      <c r="AZ38" s="93" t="str">
        <f>IF($BB38="","",IF(AZ$6=$BJ38,"◆",IF(AND(AZ$6&gt;=$BF38,AZ$6&lt;=$BG38),IF(AND(AZ$6&gt;=$BD38,AZ$6&lt;=$BE38),"実","外"),IF(AND(AZ$6&gt;=$BD38,AZ$6&lt;=$BE38),"計",IF(AND(AZ$6&gt;=$BH38,AZ$6&lt;=$BI38),"遅","")))))</f>
        <v/>
      </c>
      <c r="BB38" t="str">
        <f>IF(31&gt;COUNTIF(tblSteps[日別対象],1),"",IFERROR(MATCH(31,tblSteps[日別順位],0),""))</f>
        <v/>
      </c>
      <c r="BC38" t="str">
        <f>IF($BB38="","",INDEX(tblSteps[案件ID],$BB38)&amp;"")</f>
        <v/>
      </c>
      <c r="BD38" t="str">
        <f>IF($BB38="","",INDEX(tblSteps[計開],$BB38))</f>
        <v/>
      </c>
      <c r="BE38" t="str">
        <f>IF($BB38="","",INDEX(tblSteps[計終],$BB38))</f>
        <v/>
      </c>
      <c r="BF38" t="str">
        <f>IF($BB38="","",INDEX(tblSteps[実開],$BB38))</f>
        <v/>
      </c>
      <c r="BG38" t="str">
        <f>IF($BB38="","",INDEX(tblSteps[実終],$BB38))</f>
        <v/>
      </c>
      <c r="BH38" t="str">
        <f>IF($BB38="","",INDEX(tblSteps[遅開],$BB38))</f>
        <v/>
      </c>
      <c r="BI38" t="str">
        <f>IF($BB38="","",INDEX(tblSteps[遅終],$BB38))</f>
        <v/>
      </c>
      <c r="BJ38" t="str">
        <f>IF($BB38="","",INDEX(tblSteps[納期値],$BB38))</f>
        <v/>
      </c>
    </row>
    <row r="39" ht="18" customHeight="1">
      <c r="A39" s="89" t="str">
        <f>IF($BB39="","",INDEX(tblSteps[工程ID],$BB39)&amp;"")</f>
        <v/>
      </c>
      <c r="B39" s="88" t="str">
        <f>IF($BB39="","",IF($BC39=$BC38,"",$BC39&amp;" "&amp;INDEX(tblSteps[案件名],$BB39)))</f>
        <v/>
      </c>
      <c r="C39" s="88" t="str">
        <f>IF($BB39="","",INDEX(tblSteps[工程名],$BB39)&amp;"")</f>
        <v/>
      </c>
      <c r="D39" s="89" t="str">
        <f>IF($BB39="","",INDEX(tblSteps[担当],$BB39)&amp;"")</f>
        <v/>
      </c>
      <c r="E39" s="89" t="str">
        <f>IF($BB39="","",INDEX(tblSteps[状態],$BB39)&amp;"")</f>
        <v/>
      </c>
      <c r="F39" s="90" t="str">
        <f>IF($BB39="","",IF(ISNUMBER(INDEX(tblSteps[進捗率],$BB39)),INDEX(tblSteps[進捗率],$BB39),""))</f>
        <v/>
      </c>
      <c r="G39" s="91" t="str">
        <f>IF($BB39="","",IF(ISNUMBER(INDEX(tblSteps[計画開始日],$BB39)),INDEX(tblSteps[計画開始日],$BB39),"未入力"))</f>
        <v/>
      </c>
      <c r="H39" s="91" t="str">
        <f>IF($BB39="","",IF(ISNUMBER(INDEX(tblSteps[計画終了日],$BB39)),INDEX(tblSteps[計画終了日],$BB39),"未入力"))</f>
        <v/>
      </c>
      <c r="I39" s="91" t="str">
        <f>IF($BB39="","",IF(ISNUMBER(INDEX(tblSteps[完了見込日],$BB39)),INDEX(tblSteps[完了見込日],$BB39),""))</f>
        <v/>
      </c>
      <c r="J39" s="92" t="str">
        <f>IF($BB39="","",INDEX(tblSteps[注意短],$BB39)&amp;"")</f>
        <v/>
      </c>
      <c r="K39" s="93" t="str">
        <f>IF($BB39="","",IF(K$6=$BJ39,"◆",IF(AND(K$6&gt;=$BF39,K$6&lt;=$BG39),IF(AND(K$6&gt;=$BD39,K$6&lt;=$BE39),"実","外"),IF(AND(K$6&gt;=$BD39,K$6&lt;=$BE39),"計",IF(AND(K$6&gt;=$BH39,K$6&lt;=$BI39),"遅","")))))</f>
        <v/>
      </c>
      <c r="L39" s="93" t="str">
        <f>IF($BB39="","",IF(L$6=$BJ39,"◆",IF(AND(L$6&gt;=$BF39,L$6&lt;=$BG39),IF(AND(L$6&gt;=$BD39,L$6&lt;=$BE39),"実","外"),IF(AND(L$6&gt;=$BD39,L$6&lt;=$BE39),"計",IF(AND(L$6&gt;=$BH39,L$6&lt;=$BI39),"遅","")))))</f>
        <v/>
      </c>
      <c r="M39" s="93" t="str">
        <f>IF($BB39="","",IF(M$6=$BJ39,"◆",IF(AND(M$6&gt;=$BF39,M$6&lt;=$BG39),IF(AND(M$6&gt;=$BD39,M$6&lt;=$BE39),"実","外"),IF(AND(M$6&gt;=$BD39,M$6&lt;=$BE39),"計",IF(AND(M$6&gt;=$BH39,M$6&lt;=$BI39),"遅","")))))</f>
        <v/>
      </c>
      <c r="N39" s="93" t="str">
        <f>IF($BB39="","",IF(N$6=$BJ39,"◆",IF(AND(N$6&gt;=$BF39,N$6&lt;=$BG39),IF(AND(N$6&gt;=$BD39,N$6&lt;=$BE39),"実","外"),IF(AND(N$6&gt;=$BD39,N$6&lt;=$BE39),"計",IF(AND(N$6&gt;=$BH39,N$6&lt;=$BI39),"遅","")))))</f>
        <v/>
      </c>
      <c r="O39" s="93" t="str">
        <f>IF($BB39="","",IF(O$6=$BJ39,"◆",IF(AND(O$6&gt;=$BF39,O$6&lt;=$BG39),IF(AND(O$6&gt;=$BD39,O$6&lt;=$BE39),"実","外"),IF(AND(O$6&gt;=$BD39,O$6&lt;=$BE39),"計",IF(AND(O$6&gt;=$BH39,O$6&lt;=$BI39),"遅","")))))</f>
        <v/>
      </c>
      <c r="P39" s="93" t="str">
        <f>IF($BB39="","",IF(P$6=$BJ39,"◆",IF(AND(P$6&gt;=$BF39,P$6&lt;=$BG39),IF(AND(P$6&gt;=$BD39,P$6&lt;=$BE39),"実","外"),IF(AND(P$6&gt;=$BD39,P$6&lt;=$BE39),"計",IF(AND(P$6&gt;=$BH39,P$6&lt;=$BI39),"遅","")))))</f>
        <v/>
      </c>
      <c r="Q39" s="93" t="str">
        <f>IF($BB39="","",IF(Q$6=$BJ39,"◆",IF(AND(Q$6&gt;=$BF39,Q$6&lt;=$BG39),IF(AND(Q$6&gt;=$BD39,Q$6&lt;=$BE39),"実","外"),IF(AND(Q$6&gt;=$BD39,Q$6&lt;=$BE39),"計",IF(AND(Q$6&gt;=$BH39,Q$6&lt;=$BI39),"遅","")))))</f>
        <v/>
      </c>
      <c r="R39" s="93" t="str">
        <f>IF($BB39="","",IF(R$6=$BJ39,"◆",IF(AND(R$6&gt;=$BF39,R$6&lt;=$BG39),IF(AND(R$6&gt;=$BD39,R$6&lt;=$BE39),"実","外"),IF(AND(R$6&gt;=$BD39,R$6&lt;=$BE39),"計",IF(AND(R$6&gt;=$BH39,R$6&lt;=$BI39),"遅","")))))</f>
        <v/>
      </c>
      <c r="S39" s="93" t="str">
        <f>IF($BB39="","",IF(S$6=$BJ39,"◆",IF(AND(S$6&gt;=$BF39,S$6&lt;=$BG39),IF(AND(S$6&gt;=$BD39,S$6&lt;=$BE39),"実","外"),IF(AND(S$6&gt;=$BD39,S$6&lt;=$BE39),"計",IF(AND(S$6&gt;=$BH39,S$6&lt;=$BI39),"遅","")))))</f>
        <v/>
      </c>
      <c r="T39" s="93" t="str">
        <f>IF($BB39="","",IF(T$6=$BJ39,"◆",IF(AND(T$6&gt;=$BF39,T$6&lt;=$BG39),IF(AND(T$6&gt;=$BD39,T$6&lt;=$BE39),"実","外"),IF(AND(T$6&gt;=$BD39,T$6&lt;=$BE39),"計",IF(AND(T$6&gt;=$BH39,T$6&lt;=$BI39),"遅","")))))</f>
        <v/>
      </c>
      <c r="U39" s="93" t="str">
        <f>IF($BB39="","",IF(U$6=$BJ39,"◆",IF(AND(U$6&gt;=$BF39,U$6&lt;=$BG39),IF(AND(U$6&gt;=$BD39,U$6&lt;=$BE39),"実","外"),IF(AND(U$6&gt;=$BD39,U$6&lt;=$BE39),"計",IF(AND(U$6&gt;=$BH39,U$6&lt;=$BI39),"遅","")))))</f>
        <v/>
      </c>
      <c r="V39" s="93" t="str">
        <f>IF($BB39="","",IF(V$6=$BJ39,"◆",IF(AND(V$6&gt;=$BF39,V$6&lt;=$BG39),IF(AND(V$6&gt;=$BD39,V$6&lt;=$BE39),"実","外"),IF(AND(V$6&gt;=$BD39,V$6&lt;=$BE39),"計",IF(AND(V$6&gt;=$BH39,V$6&lt;=$BI39),"遅","")))))</f>
        <v/>
      </c>
      <c r="W39" s="93" t="str">
        <f>IF($BB39="","",IF(W$6=$BJ39,"◆",IF(AND(W$6&gt;=$BF39,W$6&lt;=$BG39),IF(AND(W$6&gt;=$BD39,W$6&lt;=$BE39),"実","外"),IF(AND(W$6&gt;=$BD39,W$6&lt;=$BE39),"計",IF(AND(W$6&gt;=$BH39,W$6&lt;=$BI39),"遅","")))))</f>
        <v/>
      </c>
      <c r="X39" s="93" t="str">
        <f>IF($BB39="","",IF(X$6=$BJ39,"◆",IF(AND(X$6&gt;=$BF39,X$6&lt;=$BG39),IF(AND(X$6&gt;=$BD39,X$6&lt;=$BE39),"実","外"),IF(AND(X$6&gt;=$BD39,X$6&lt;=$BE39),"計",IF(AND(X$6&gt;=$BH39,X$6&lt;=$BI39),"遅","")))))</f>
        <v/>
      </c>
      <c r="Y39" s="93" t="str">
        <f>IF($BB39="","",IF(Y$6=$BJ39,"◆",IF(AND(Y$6&gt;=$BF39,Y$6&lt;=$BG39),IF(AND(Y$6&gt;=$BD39,Y$6&lt;=$BE39),"実","外"),IF(AND(Y$6&gt;=$BD39,Y$6&lt;=$BE39),"計",IF(AND(Y$6&gt;=$BH39,Y$6&lt;=$BI39),"遅","")))))</f>
        <v/>
      </c>
      <c r="Z39" s="93" t="str">
        <f>IF($BB39="","",IF(Z$6=$BJ39,"◆",IF(AND(Z$6&gt;=$BF39,Z$6&lt;=$BG39),IF(AND(Z$6&gt;=$BD39,Z$6&lt;=$BE39),"実","外"),IF(AND(Z$6&gt;=$BD39,Z$6&lt;=$BE39),"計",IF(AND(Z$6&gt;=$BH39,Z$6&lt;=$BI39),"遅","")))))</f>
        <v/>
      </c>
      <c r="AA39" s="93" t="str">
        <f>IF($BB39="","",IF(AA$6=$BJ39,"◆",IF(AND(AA$6&gt;=$BF39,AA$6&lt;=$BG39),IF(AND(AA$6&gt;=$BD39,AA$6&lt;=$BE39),"実","外"),IF(AND(AA$6&gt;=$BD39,AA$6&lt;=$BE39),"計",IF(AND(AA$6&gt;=$BH39,AA$6&lt;=$BI39),"遅","")))))</f>
        <v/>
      </c>
      <c r="AB39" s="93" t="str">
        <f>IF($BB39="","",IF(AB$6=$BJ39,"◆",IF(AND(AB$6&gt;=$BF39,AB$6&lt;=$BG39),IF(AND(AB$6&gt;=$BD39,AB$6&lt;=$BE39),"実","外"),IF(AND(AB$6&gt;=$BD39,AB$6&lt;=$BE39),"計",IF(AND(AB$6&gt;=$BH39,AB$6&lt;=$BI39),"遅","")))))</f>
        <v/>
      </c>
      <c r="AC39" s="93" t="str">
        <f>IF($BB39="","",IF(AC$6=$BJ39,"◆",IF(AND(AC$6&gt;=$BF39,AC$6&lt;=$BG39),IF(AND(AC$6&gt;=$BD39,AC$6&lt;=$BE39),"実","外"),IF(AND(AC$6&gt;=$BD39,AC$6&lt;=$BE39),"計",IF(AND(AC$6&gt;=$BH39,AC$6&lt;=$BI39),"遅","")))))</f>
        <v/>
      </c>
      <c r="AD39" s="93" t="str">
        <f>IF($BB39="","",IF(AD$6=$BJ39,"◆",IF(AND(AD$6&gt;=$BF39,AD$6&lt;=$BG39),IF(AND(AD$6&gt;=$BD39,AD$6&lt;=$BE39),"実","外"),IF(AND(AD$6&gt;=$BD39,AD$6&lt;=$BE39),"計",IF(AND(AD$6&gt;=$BH39,AD$6&lt;=$BI39),"遅","")))))</f>
        <v/>
      </c>
      <c r="AE39" s="93" t="str">
        <f>IF($BB39="","",IF(AE$6=$BJ39,"◆",IF(AND(AE$6&gt;=$BF39,AE$6&lt;=$BG39),IF(AND(AE$6&gt;=$BD39,AE$6&lt;=$BE39),"実","外"),IF(AND(AE$6&gt;=$BD39,AE$6&lt;=$BE39),"計",IF(AND(AE$6&gt;=$BH39,AE$6&lt;=$BI39),"遅","")))))</f>
        <v/>
      </c>
      <c r="AF39" s="93" t="str">
        <f>IF($BB39="","",IF(AF$6=$BJ39,"◆",IF(AND(AF$6&gt;=$BF39,AF$6&lt;=$BG39),IF(AND(AF$6&gt;=$BD39,AF$6&lt;=$BE39),"実","外"),IF(AND(AF$6&gt;=$BD39,AF$6&lt;=$BE39),"計",IF(AND(AF$6&gt;=$BH39,AF$6&lt;=$BI39),"遅","")))))</f>
        <v/>
      </c>
      <c r="AG39" s="93" t="str">
        <f>IF($BB39="","",IF(AG$6=$BJ39,"◆",IF(AND(AG$6&gt;=$BF39,AG$6&lt;=$BG39),IF(AND(AG$6&gt;=$BD39,AG$6&lt;=$BE39),"実","外"),IF(AND(AG$6&gt;=$BD39,AG$6&lt;=$BE39),"計",IF(AND(AG$6&gt;=$BH39,AG$6&lt;=$BI39),"遅","")))))</f>
        <v/>
      </c>
      <c r="AH39" s="93" t="str">
        <f>IF($BB39="","",IF(AH$6=$BJ39,"◆",IF(AND(AH$6&gt;=$BF39,AH$6&lt;=$BG39),IF(AND(AH$6&gt;=$BD39,AH$6&lt;=$BE39),"実","外"),IF(AND(AH$6&gt;=$BD39,AH$6&lt;=$BE39),"計",IF(AND(AH$6&gt;=$BH39,AH$6&lt;=$BI39),"遅","")))))</f>
        <v/>
      </c>
      <c r="AI39" s="93" t="str">
        <f>IF($BB39="","",IF(AI$6=$BJ39,"◆",IF(AND(AI$6&gt;=$BF39,AI$6&lt;=$BG39),IF(AND(AI$6&gt;=$BD39,AI$6&lt;=$BE39),"実","外"),IF(AND(AI$6&gt;=$BD39,AI$6&lt;=$BE39),"計",IF(AND(AI$6&gt;=$BH39,AI$6&lt;=$BI39),"遅","")))))</f>
        <v/>
      </c>
      <c r="AJ39" s="93" t="str">
        <f>IF($BB39="","",IF(AJ$6=$BJ39,"◆",IF(AND(AJ$6&gt;=$BF39,AJ$6&lt;=$BG39),IF(AND(AJ$6&gt;=$BD39,AJ$6&lt;=$BE39),"実","外"),IF(AND(AJ$6&gt;=$BD39,AJ$6&lt;=$BE39),"計",IF(AND(AJ$6&gt;=$BH39,AJ$6&lt;=$BI39),"遅","")))))</f>
        <v/>
      </c>
      <c r="AK39" s="93" t="str">
        <f>IF($BB39="","",IF(AK$6=$BJ39,"◆",IF(AND(AK$6&gt;=$BF39,AK$6&lt;=$BG39),IF(AND(AK$6&gt;=$BD39,AK$6&lt;=$BE39),"実","外"),IF(AND(AK$6&gt;=$BD39,AK$6&lt;=$BE39),"計",IF(AND(AK$6&gt;=$BH39,AK$6&lt;=$BI39),"遅","")))))</f>
        <v/>
      </c>
      <c r="AL39" s="93" t="str">
        <f>IF($BB39="","",IF(AL$6=$BJ39,"◆",IF(AND(AL$6&gt;=$BF39,AL$6&lt;=$BG39),IF(AND(AL$6&gt;=$BD39,AL$6&lt;=$BE39),"実","外"),IF(AND(AL$6&gt;=$BD39,AL$6&lt;=$BE39),"計",IF(AND(AL$6&gt;=$BH39,AL$6&lt;=$BI39),"遅","")))))</f>
        <v/>
      </c>
      <c r="AM39" s="93" t="str">
        <f>IF($BB39="","",IF(AM$6=$BJ39,"◆",IF(AND(AM$6&gt;=$BF39,AM$6&lt;=$BG39),IF(AND(AM$6&gt;=$BD39,AM$6&lt;=$BE39),"実","外"),IF(AND(AM$6&gt;=$BD39,AM$6&lt;=$BE39),"計",IF(AND(AM$6&gt;=$BH39,AM$6&lt;=$BI39),"遅","")))))</f>
        <v/>
      </c>
      <c r="AN39" s="93" t="str">
        <f>IF($BB39="","",IF(AN$6=$BJ39,"◆",IF(AND(AN$6&gt;=$BF39,AN$6&lt;=$BG39),IF(AND(AN$6&gt;=$BD39,AN$6&lt;=$BE39),"実","外"),IF(AND(AN$6&gt;=$BD39,AN$6&lt;=$BE39),"計",IF(AND(AN$6&gt;=$BH39,AN$6&lt;=$BI39),"遅","")))))</f>
        <v/>
      </c>
      <c r="AO39" s="93" t="str">
        <f>IF($BB39="","",IF(AO$6=$BJ39,"◆",IF(AND(AO$6&gt;=$BF39,AO$6&lt;=$BG39),IF(AND(AO$6&gt;=$BD39,AO$6&lt;=$BE39),"実","外"),IF(AND(AO$6&gt;=$BD39,AO$6&lt;=$BE39),"計",IF(AND(AO$6&gt;=$BH39,AO$6&lt;=$BI39),"遅","")))))</f>
        <v/>
      </c>
      <c r="AP39" s="93" t="str">
        <f>IF($BB39="","",IF(AP$6=$BJ39,"◆",IF(AND(AP$6&gt;=$BF39,AP$6&lt;=$BG39),IF(AND(AP$6&gt;=$BD39,AP$6&lt;=$BE39),"実","外"),IF(AND(AP$6&gt;=$BD39,AP$6&lt;=$BE39),"計",IF(AND(AP$6&gt;=$BH39,AP$6&lt;=$BI39),"遅","")))))</f>
        <v/>
      </c>
      <c r="AQ39" s="93" t="str">
        <f>IF($BB39="","",IF(AQ$6=$BJ39,"◆",IF(AND(AQ$6&gt;=$BF39,AQ$6&lt;=$BG39),IF(AND(AQ$6&gt;=$BD39,AQ$6&lt;=$BE39),"実","外"),IF(AND(AQ$6&gt;=$BD39,AQ$6&lt;=$BE39),"計",IF(AND(AQ$6&gt;=$BH39,AQ$6&lt;=$BI39),"遅","")))))</f>
        <v/>
      </c>
      <c r="AR39" s="93" t="str">
        <f>IF($BB39="","",IF(AR$6=$BJ39,"◆",IF(AND(AR$6&gt;=$BF39,AR$6&lt;=$BG39),IF(AND(AR$6&gt;=$BD39,AR$6&lt;=$BE39),"実","外"),IF(AND(AR$6&gt;=$BD39,AR$6&lt;=$BE39),"計",IF(AND(AR$6&gt;=$BH39,AR$6&lt;=$BI39),"遅","")))))</f>
        <v/>
      </c>
      <c r="AS39" s="93" t="str">
        <f>IF($BB39="","",IF(AS$6=$BJ39,"◆",IF(AND(AS$6&gt;=$BF39,AS$6&lt;=$BG39),IF(AND(AS$6&gt;=$BD39,AS$6&lt;=$BE39),"実","外"),IF(AND(AS$6&gt;=$BD39,AS$6&lt;=$BE39),"計",IF(AND(AS$6&gt;=$BH39,AS$6&lt;=$BI39),"遅","")))))</f>
        <v/>
      </c>
      <c r="AT39" s="93" t="str">
        <f>IF($BB39="","",IF(AT$6=$BJ39,"◆",IF(AND(AT$6&gt;=$BF39,AT$6&lt;=$BG39),IF(AND(AT$6&gt;=$BD39,AT$6&lt;=$BE39),"実","外"),IF(AND(AT$6&gt;=$BD39,AT$6&lt;=$BE39),"計",IF(AND(AT$6&gt;=$BH39,AT$6&lt;=$BI39),"遅","")))))</f>
        <v/>
      </c>
      <c r="AU39" s="93" t="str">
        <f>IF($BB39="","",IF(AU$6=$BJ39,"◆",IF(AND(AU$6&gt;=$BF39,AU$6&lt;=$BG39),IF(AND(AU$6&gt;=$BD39,AU$6&lt;=$BE39),"実","外"),IF(AND(AU$6&gt;=$BD39,AU$6&lt;=$BE39),"計",IF(AND(AU$6&gt;=$BH39,AU$6&lt;=$BI39),"遅","")))))</f>
        <v/>
      </c>
      <c r="AV39" s="93" t="str">
        <f>IF($BB39="","",IF(AV$6=$BJ39,"◆",IF(AND(AV$6&gt;=$BF39,AV$6&lt;=$BG39),IF(AND(AV$6&gt;=$BD39,AV$6&lt;=$BE39),"実","外"),IF(AND(AV$6&gt;=$BD39,AV$6&lt;=$BE39),"計",IF(AND(AV$6&gt;=$BH39,AV$6&lt;=$BI39),"遅","")))))</f>
        <v/>
      </c>
      <c r="AW39" s="93" t="str">
        <f>IF($BB39="","",IF(AW$6=$BJ39,"◆",IF(AND(AW$6&gt;=$BF39,AW$6&lt;=$BG39),IF(AND(AW$6&gt;=$BD39,AW$6&lt;=$BE39),"実","外"),IF(AND(AW$6&gt;=$BD39,AW$6&lt;=$BE39),"計",IF(AND(AW$6&gt;=$BH39,AW$6&lt;=$BI39),"遅","")))))</f>
        <v/>
      </c>
      <c r="AX39" s="93" t="str">
        <f>IF($BB39="","",IF(AX$6=$BJ39,"◆",IF(AND(AX$6&gt;=$BF39,AX$6&lt;=$BG39),IF(AND(AX$6&gt;=$BD39,AX$6&lt;=$BE39),"実","外"),IF(AND(AX$6&gt;=$BD39,AX$6&lt;=$BE39),"計",IF(AND(AX$6&gt;=$BH39,AX$6&lt;=$BI39),"遅","")))))</f>
        <v/>
      </c>
      <c r="AY39" s="93" t="str">
        <f>IF($BB39="","",IF(AY$6=$BJ39,"◆",IF(AND(AY$6&gt;=$BF39,AY$6&lt;=$BG39),IF(AND(AY$6&gt;=$BD39,AY$6&lt;=$BE39),"実","外"),IF(AND(AY$6&gt;=$BD39,AY$6&lt;=$BE39),"計",IF(AND(AY$6&gt;=$BH39,AY$6&lt;=$BI39),"遅","")))))</f>
        <v/>
      </c>
      <c r="AZ39" s="93" t="str">
        <f>IF($BB39="","",IF(AZ$6=$BJ39,"◆",IF(AND(AZ$6&gt;=$BF39,AZ$6&lt;=$BG39),IF(AND(AZ$6&gt;=$BD39,AZ$6&lt;=$BE39),"実","外"),IF(AND(AZ$6&gt;=$BD39,AZ$6&lt;=$BE39),"計",IF(AND(AZ$6&gt;=$BH39,AZ$6&lt;=$BI39),"遅","")))))</f>
        <v/>
      </c>
      <c r="BB39" t="str">
        <f>IF(32&gt;COUNTIF(tblSteps[日別対象],1),"",IFERROR(MATCH(32,tblSteps[日別順位],0),""))</f>
        <v/>
      </c>
      <c r="BC39" t="str">
        <f>IF($BB39="","",INDEX(tblSteps[案件ID],$BB39)&amp;"")</f>
        <v/>
      </c>
      <c r="BD39" t="str">
        <f>IF($BB39="","",INDEX(tblSteps[計開],$BB39))</f>
        <v/>
      </c>
      <c r="BE39" t="str">
        <f>IF($BB39="","",INDEX(tblSteps[計終],$BB39))</f>
        <v/>
      </c>
      <c r="BF39" t="str">
        <f>IF($BB39="","",INDEX(tblSteps[実開],$BB39))</f>
        <v/>
      </c>
      <c r="BG39" t="str">
        <f>IF($BB39="","",INDEX(tblSteps[実終],$BB39))</f>
        <v/>
      </c>
      <c r="BH39" t="str">
        <f>IF($BB39="","",INDEX(tblSteps[遅開],$BB39))</f>
        <v/>
      </c>
      <c r="BI39" t="str">
        <f>IF($BB39="","",INDEX(tblSteps[遅終],$BB39))</f>
        <v/>
      </c>
      <c r="BJ39" t="str">
        <f>IF($BB39="","",INDEX(tblSteps[納期値],$BB39))</f>
        <v/>
      </c>
    </row>
    <row r="40" ht="18" customHeight="1">
      <c r="A40" s="89" t="str">
        <f>IF($BB40="","",INDEX(tblSteps[工程ID],$BB40)&amp;"")</f>
        <v/>
      </c>
      <c r="B40" s="88" t="str">
        <f>IF($BB40="","",IF($BC40=$BC39,"",$BC40&amp;" "&amp;INDEX(tblSteps[案件名],$BB40)))</f>
        <v/>
      </c>
      <c r="C40" s="88" t="str">
        <f>IF($BB40="","",INDEX(tblSteps[工程名],$BB40)&amp;"")</f>
        <v/>
      </c>
      <c r="D40" s="89" t="str">
        <f>IF($BB40="","",INDEX(tblSteps[担当],$BB40)&amp;"")</f>
        <v/>
      </c>
      <c r="E40" s="89" t="str">
        <f>IF($BB40="","",INDEX(tblSteps[状態],$BB40)&amp;"")</f>
        <v/>
      </c>
      <c r="F40" s="90" t="str">
        <f>IF($BB40="","",IF(ISNUMBER(INDEX(tblSteps[進捗率],$BB40)),INDEX(tblSteps[進捗率],$BB40),""))</f>
        <v/>
      </c>
      <c r="G40" s="91" t="str">
        <f>IF($BB40="","",IF(ISNUMBER(INDEX(tblSteps[計画開始日],$BB40)),INDEX(tblSteps[計画開始日],$BB40),"未入力"))</f>
        <v/>
      </c>
      <c r="H40" s="91" t="str">
        <f>IF($BB40="","",IF(ISNUMBER(INDEX(tblSteps[計画終了日],$BB40)),INDEX(tblSteps[計画終了日],$BB40),"未入力"))</f>
        <v/>
      </c>
      <c r="I40" s="91" t="str">
        <f>IF($BB40="","",IF(ISNUMBER(INDEX(tblSteps[完了見込日],$BB40)),INDEX(tblSteps[完了見込日],$BB40),""))</f>
        <v/>
      </c>
      <c r="J40" s="92" t="str">
        <f>IF($BB40="","",INDEX(tblSteps[注意短],$BB40)&amp;"")</f>
        <v/>
      </c>
      <c r="K40" s="93" t="str">
        <f>IF($BB40="","",IF(K$6=$BJ40,"◆",IF(AND(K$6&gt;=$BF40,K$6&lt;=$BG40),IF(AND(K$6&gt;=$BD40,K$6&lt;=$BE40),"実","外"),IF(AND(K$6&gt;=$BD40,K$6&lt;=$BE40),"計",IF(AND(K$6&gt;=$BH40,K$6&lt;=$BI40),"遅","")))))</f>
        <v/>
      </c>
      <c r="L40" s="93" t="str">
        <f>IF($BB40="","",IF(L$6=$BJ40,"◆",IF(AND(L$6&gt;=$BF40,L$6&lt;=$BG40),IF(AND(L$6&gt;=$BD40,L$6&lt;=$BE40),"実","外"),IF(AND(L$6&gt;=$BD40,L$6&lt;=$BE40),"計",IF(AND(L$6&gt;=$BH40,L$6&lt;=$BI40),"遅","")))))</f>
        <v/>
      </c>
      <c r="M40" s="93" t="str">
        <f>IF($BB40="","",IF(M$6=$BJ40,"◆",IF(AND(M$6&gt;=$BF40,M$6&lt;=$BG40),IF(AND(M$6&gt;=$BD40,M$6&lt;=$BE40),"実","外"),IF(AND(M$6&gt;=$BD40,M$6&lt;=$BE40),"計",IF(AND(M$6&gt;=$BH40,M$6&lt;=$BI40),"遅","")))))</f>
        <v/>
      </c>
      <c r="N40" s="93" t="str">
        <f>IF($BB40="","",IF(N$6=$BJ40,"◆",IF(AND(N$6&gt;=$BF40,N$6&lt;=$BG40),IF(AND(N$6&gt;=$BD40,N$6&lt;=$BE40),"実","外"),IF(AND(N$6&gt;=$BD40,N$6&lt;=$BE40),"計",IF(AND(N$6&gt;=$BH40,N$6&lt;=$BI40),"遅","")))))</f>
        <v/>
      </c>
      <c r="O40" s="93" t="str">
        <f>IF($BB40="","",IF(O$6=$BJ40,"◆",IF(AND(O$6&gt;=$BF40,O$6&lt;=$BG40),IF(AND(O$6&gt;=$BD40,O$6&lt;=$BE40),"実","外"),IF(AND(O$6&gt;=$BD40,O$6&lt;=$BE40),"計",IF(AND(O$6&gt;=$BH40,O$6&lt;=$BI40),"遅","")))))</f>
        <v/>
      </c>
      <c r="P40" s="93" t="str">
        <f>IF($BB40="","",IF(P$6=$BJ40,"◆",IF(AND(P$6&gt;=$BF40,P$6&lt;=$BG40),IF(AND(P$6&gt;=$BD40,P$6&lt;=$BE40),"実","外"),IF(AND(P$6&gt;=$BD40,P$6&lt;=$BE40),"計",IF(AND(P$6&gt;=$BH40,P$6&lt;=$BI40),"遅","")))))</f>
        <v/>
      </c>
      <c r="Q40" s="93" t="str">
        <f>IF($BB40="","",IF(Q$6=$BJ40,"◆",IF(AND(Q$6&gt;=$BF40,Q$6&lt;=$BG40),IF(AND(Q$6&gt;=$BD40,Q$6&lt;=$BE40),"実","外"),IF(AND(Q$6&gt;=$BD40,Q$6&lt;=$BE40),"計",IF(AND(Q$6&gt;=$BH40,Q$6&lt;=$BI40),"遅","")))))</f>
        <v/>
      </c>
      <c r="R40" s="93" t="str">
        <f>IF($BB40="","",IF(R$6=$BJ40,"◆",IF(AND(R$6&gt;=$BF40,R$6&lt;=$BG40),IF(AND(R$6&gt;=$BD40,R$6&lt;=$BE40),"実","外"),IF(AND(R$6&gt;=$BD40,R$6&lt;=$BE40),"計",IF(AND(R$6&gt;=$BH40,R$6&lt;=$BI40),"遅","")))))</f>
        <v/>
      </c>
      <c r="S40" s="93" t="str">
        <f>IF($BB40="","",IF(S$6=$BJ40,"◆",IF(AND(S$6&gt;=$BF40,S$6&lt;=$BG40),IF(AND(S$6&gt;=$BD40,S$6&lt;=$BE40),"実","外"),IF(AND(S$6&gt;=$BD40,S$6&lt;=$BE40),"計",IF(AND(S$6&gt;=$BH40,S$6&lt;=$BI40),"遅","")))))</f>
        <v/>
      </c>
      <c r="T40" s="93" t="str">
        <f>IF($BB40="","",IF(T$6=$BJ40,"◆",IF(AND(T$6&gt;=$BF40,T$6&lt;=$BG40),IF(AND(T$6&gt;=$BD40,T$6&lt;=$BE40),"実","外"),IF(AND(T$6&gt;=$BD40,T$6&lt;=$BE40),"計",IF(AND(T$6&gt;=$BH40,T$6&lt;=$BI40),"遅","")))))</f>
        <v/>
      </c>
      <c r="U40" s="93" t="str">
        <f>IF($BB40="","",IF(U$6=$BJ40,"◆",IF(AND(U$6&gt;=$BF40,U$6&lt;=$BG40),IF(AND(U$6&gt;=$BD40,U$6&lt;=$BE40),"実","外"),IF(AND(U$6&gt;=$BD40,U$6&lt;=$BE40),"計",IF(AND(U$6&gt;=$BH40,U$6&lt;=$BI40),"遅","")))))</f>
        <v/>
      </c>
      <c r="V40" s="93" t="str">
        <f>IF($BB40="","",IF(V$6=$BJ40,"◆",IF(AND(V$6&gt;=$BF40,V$6&lt;=$BG40),IF(AND(V$6&gt;=$BD40,V$6&lt;=$BE40),"実","外"),IF(AND(V$6&gt;=$BD40,V$6&lt;=$BE40),"計",IF(AND(V$6&gt;=$BH40,V$6&lt;=$BI40),"遅","")))))</f>
        <v/>
      </c>
      <c r="W40" s="93" t="str">
        <f>IF($BB40="","",IF(W$6=$BJ40,"◆",IF(AND(W$6&gt;=$BF40,W$6&lt;=$BG40),IF(AND(W$6&gt;=$BD40,W$6&lt;=$BE40),"実","外"),IF(AND(W$6&gt;=$BD40,W$6&lt;=$BE40),"計",IF(AND(W$6&gt;=$BH40,W$6&lt;=$BI40),"遅","")))))</f>
        <v/>
      </c>
      <c r="X40" s="93" t="str">
        <f>IF($BB40="","",IF(X$6=$BJ40,"◆",IF(AND(X$6&gt;=$BF40,X$6&lt;=$BG40),IF(AND(X$6&gt;=$BD40,X$6&lt;=$BE40),"実","外"),IF(AND(X$6&gt;=$BD40,X$6&lt;=$BE40),"計",IF(AND(X$6&gt;=$BH40,X$6&lt;=$BI40),"遅","")))))</f>
        <v/>
      </c>
      <c r="Y40" s="93" t="str">
        <f>IF($BB40="","",IF(Y$6=$BJ40,"◆",IF(AND(Y$6&gt;=$BF40,Y$6&lt;=$BG40),IF(AND(Y$6&gt;=$BD40,Y$6&lt;=$BE40),"実","外"),IF(AND(Y$6&gt;=$BD40,Y$6&lt;=$BE40),"計",IF(AND(Y$6&gt;=$BH40,Y$6&lt;=$BI40),"遅","")))))</f>
        <v/>
      </c>
      <c r="Z40" s="93" t="str">
        <f>IF($BB40="","",IF(Z$6=$BJ40,"◆",IF(AND(Z$6&gt;=$BF40,Z$6&lt;=$BG40),IF(AND(Z$6&gt;=$BD40,Z$6&lt;=$BE40),"実","外"),IF(AND(Z$6&gt;=$BD40,Z$6&lt;=$BE40),"計",IF(AND(Z$6&gt;=$BH40,Z$6&lt;=$BI40),"遅","")))))</f>
        <v/>
      </c>
      <c r="AA40" s="93" t="str">
        <f>IF($BB40="","",IF(AA$6=$BJ40,"◆",IF(AND(AA$6&gt;=$BF40,AA$6&lt;=$BG40),IF(AND(AA$6&gt;=$BD40,AA$6&lt;=$BE40),"実","外"),IF(AND(AA$6&gt;=$BD40,AA$6&lt;=$BE40),"計",IF(AND(AA$6&gt;=$BH40,AA$6&lt;=$BI40),"遅","")))))</f>
        <v/>
      </c>
      <c r="AB40" s="93" t="str">
        <f>IF($BB40="","",IF(AB$6=$BJ40,"◆",IF(AND(AB$6&gt;=$BF40,AB$6&lt;=$BG40),IF(AND(AB$6&gt;=$BD40,AB$6&lt;=$BE40),"実","外"),IF(AND(AB$6&gt;=$BD40,AB$6&lt;=$BE40),"計",IF(AND(AB$6&gt;=$BH40,AB$6&lt;=$BI40),"遅","")))))</f>
        <v/>
      </c>
      <c r="AC40" s="93" t="str">
        <f>IF($BB40="","",IF(AC$6=$BJ40,"◆",IF(AND(AC$6&gt;=$BF40,AC$6&lt;=$BG40),IF(AND(AC$6&gt;=$BD40,AC$6&lt;=$BE40),"実","外"),IF(AND(AC$6&gt;=$BD40,AC$6&lt;=$BE40),"計",IF(AND(AC$6&gt;=$BH40,AC$6&lt;=$BI40),"遅","")))))</f>
        <v/>
      </c>
      <c r="AD40" s="93" t="str">
        <f>IF($BB40="","",IF(AD$6=$BJ40,"◆",IF(AND(AD$6&gt;=$BF40,AD$6&lt;=$BG40),IF(AND(AD$6&gt;=$BD40,AD$6&lt;=$BE40),"実","外"),IF(AND(AD$6&gt;=$BD40,AD$6&lt;=$BE40),"計",IF(AND(AD$6&gt;=$BH40,AD$6&lt;=$BI40),"遅","")))))</f>
        <v/>
      </c>
      <c r="AE40" s="93" t="str">
        <f>IF($BB40="","",IF(AE$6=$BJ40,"◆",IF(AND(AE$6&gt;=$BF40,AE$6&lt;=$BG40),IF(AND(AE$6&gt;=$BD40,AE$6&lt;=$BE40),"実","外"),IF(AND(AE$6&gt;=$BD40,AE$6&lt;=$BE40),"計",IF(AND(AE$6&gt;=$BH40,AE$6&lt;=$BI40),"遅","")))))</f>
        <v/>
      </c>
      <c r="AF40" s="93" t="str">
        <f>IF($BB40="","",IF(AF$6=$BJ40,"◆",IF(AND(AF$6&gt;=$BF40,AF$6&lt;=$BG40),IF(AND(AF$6&gt;=$BD40,AF$6&lt;=$BE40),"実","外"),IF(AND(AF$6&gt;=$BD40,AF$6&lt;=$BE40),"計",IF(AND(AF$6&gt;=$BH40,AF$6&lt;=$BI40),"遅","")))))</f>
        <v/>
      </c>
      <c r="AG40" s="93" t="str">
        <f>IF($BB40="","",IF(AG$6=$BJ40,"◆",IF(AND(AG$6&gt;=$BF40,AG$6&lt;=$BG40),IF(AND(AG$6&gt;=$BD40,AG$6&lt;=$BE40),"実","外"),IF(AND(AG$6&gt;=$BD40,AG$6&lt;=$BE40),"計",IF(AND(AG$6&gt;=$BH40,AG$6&lt;=$BI40),"遅","")))))</f>
        <v/>
      </c>
      <c r="AH40" s="93" t="str">
        <f>IF($BB40="","",IF(AH$6=$BJ40,"◆",IF(AND(AH$6&gt;=$BF40,AH$6&lt;=$BG40),IF(AND(AH$6&gt;=$BD40,AH$6&lt;=$BE40),"実","外"),IF(AND(AH$6&gt;=$BD40,AH$6&lt;=$BE40),"計",IF(AND(AH$6&gt;=$BH40,AH$6&lt;=$BI40),"遅","")))))</f>
        <v/>
      </c>
      <c r="AI40" s="93" t="str">
        <f>IF($BB40="","",IF(AI$6=$BJ40,"◆",IF(AND(AI$6&gt;=$BF40,AI$6&lt;=$BG40),IF(AND(AI$6&gt;=$BD40,AI$6&lt;=$BE40),"実","外"),IF(AND(AI$6&gt;=$BD40,AI$6&lt;=$BE40),"計",IF(AND(AI$6&gt;=$BH40,AI$6&lt;=$BI40),"遅","")))))</f>
        <v/>
      </c>
      <c r="AJ40" s="93" t="str">
        <f>IF($BB40="","",IF(AJ$6=$BJ40,"◆",IF(AND(AJ$6&gt;=$BF40,AJ$6&lt;=$BG40),IF(AND(AJ$6&gt;=$BD40,AJ$6&lt;=$BE40),"実","外"),IF(AND(AJ$6&gt;=$BD40,AJ$6&lt;=$BE40),"計",IF(AND(AJ$6&gt;=$BH40,AJ$6&lt;=$BI40),"遅","")))))</f>
        <v/>
      </c>
      <c r="AK40" s="93" t="str">
        <f>IF($BB40="","",IF(AK$6=$BJ40,"◆",IF(AND(AK$6&gt;=$BF40,AK$6&lt;=$BG40),IF(AND(AK$6&gt;=$BD40,AK$6&lt;=$BE40),"実","外"),IF(AND(AK$6&gt;=$BD40,AK$6&lt;=$BE40),"計",IF(AND(AK$6&gt;=$BH40,AK$6&lt;=$BI40),"遅","")))))</f>
        <v/>
      </c>
      <c r="AL40" s="93" t="str">
        <f>IF($BB40="","",IF(AL$6=$BJ40,"◆",IF(AND(AL$6&gt;=$BF40,AL$6&lt;=$BG40),IF(AND(AL$6&gt;=$BD40,AL$6&lt;=$BE40),"実","外"),IF(AND(AL$6&gt;=$BD40,AL$6&lt;=$BE40),"計",IF(AND(AL$6&gt;=$BH40,AL$6&lt;=$BI40),"遅","")))))</f>
        <v/>
      </c>
      <c r="AM40" s="93" t="str">
        <f>IF($BB40="","",IF(AM$6=$BJ40,"◆",IF(AND(AM$6&gt;=$BF40,AM$6&lt;=$BG40),IF(AND(AM$6&gt;=$BD40,AM$6&lt;=$BE40),"実","外"),IF(AND(AM$6&gt;=$BD40,AM$6&lt;=$BE40),"計",IF(AND(AM$6&gt;=$BH40,AM$6&lt;=$BI40),"遅","")))))</f>
        <v/>
      </c>
      <c r="AN40" s="93" t="str">
        <f>IF($BB40="","",IF(AN$6=$BJ40,"◆",IF(AND(AN$6&gt;=$BF40,AN$6&lt;=$BG40),IF(AND(AN$6&gt;=$BD40,AN$6&lt;=$BE40),"実","外"),IF(AND(AN$6&gt;=$BD40,AN$6&lt;=$BE40),"計",IF(AND(AN$6&gt;=$BH40,AN$6&lt;=$BI40),"遅","")))))</f>
        <v/>
      </c>
      <c r="AO40" s="93" t="str">
        <f>IF($BB40="","",IF(AO$6=$BJ40,"◆",IF(AND(AO$6&gt;=$BF40,AO$6&lt;=$BG40),IF(AND(AO$6&gt;=$BD40,AO$6&lt;=$BE40),"実","外"),IF(AND(AO$6&gt;=$BD40,AO$6&lt;=$BE40),"計",IF(AND(AO$6&gt;=$BH40,AO$6&lt;=$BI40),"遅","")))))</f>
        <v/>
      </c>
      <c r="AP40" s="93" t="str">
        <f>IF($BB40="","",IF(AP$6=$BJ40,"◆",IF(AND(AP$6&gt;=$BF40,AP$6&lt;=$BG40),IF(AND(AP$6&gt;=$BD40,AP$6&lt;=$BE40),"実","外"),IF(AND(AP$6&gt;=$BD40,AP$6&lt;=$BE40),"計",IF(AND(AP$6&gt;=$BH40,AP$6&lt;=$BI40),"遅","")))))</f>
        <v/>
      </c>
      <c r="AQ40" s="93" t="str">
        <f>IF($BB40="","",IF(AQ$6=$BJ40,"◆",IF(AND(AQ$6&gt;=$BF40,AQ$6&lt;=$BG40),IF(AND(AQ$6&gt;=$BD40,AQ$6&lt;=$BE40),"実","外"),IF(AND(AQ$6&gt;=$BD40,AQ$6&lt;=$BE40),"計",IF(AND(AQ$6&gt;=$BH40,AQ$6&lt;=$BI40),"遅","")))))</f>
        <v/>
      </c>
      <c r="AR40" s="93" t="str">
        <f>IF($BB40="","",IF(AR$6=$BJ40,"◆",IF(AND(AR$6&gt;=$BF40,AR$6&lt;=$BG40),IF(AND(AR$6&gt;=$BD40,AR$6&lt;=$BE40),"実","外"),IF(AND(AR$6&gt;=$BD40,AR$6&lt;=$BE40),"計",IF(AND(AR$6&gt;=$BH40,AR$6&lt;=$BI40),"遅","")))))</f>
        <v/>
      </c>
      <c r="AS40" s="93" t="str">
        <f>IF($BB40="","",IF(AS$6=$BJ40,"◆",IF(AND(AS$6&gt;=$BF40,AS$6&lt;=$BG40),IF(AND(AS$6&gt;=$BD40,AS$6&lt;=$BE40),"実","外"),IF(AND(AS$6&gt;=$BD40,AS$6&lt;=$BE40),"計",IF(AND(AS$6&gt;=$BH40,AS$6&lt;=$BI40),"遅","")))))</f>
        <v/>
      </c>
      <c r="AT40" s="93" t="str">
        <f>IF($BB40="","",IF(AT$6=$BJ40,"◆",IF(AND(AT$6&gt;=$BF40,AT$6&lt;=$BG40),IF(AND(AT$6&gt;=$BD40,AT$6&lt;=$BE40),"実","外"),IF(AND(AT$6&gt;=$BD40,AT$6&lt;=$BE40),"計",IF(AND(AT$6&gt;=$BH40,AT$6&lt;=$BI40),"遅","")))))</f>
        <v/>
      </c>
      <c r="AU40" s="93" t="str">
        <f>IF($BB40="","",IF(AU$6=$BJ40,"◆",IF(AND(AU$6&gt;=$BF40,AU$6&lt;=$BG40),IF(AND(AU$6&gt;=$BD40,AU$6&lt;=$BE40),"実","外"),IF(AND(AU$6&gt;=$BD40,AU$6&lt;=$BE40),"計",IF(AND(AU$6&gt;=$BH40,AU$6&lt;=$BI40),"遅","")))))</f>
        <v/>
      </c>
      <c r="AV40" s="93" t="str">
        <f>IF($BB40="","",IF(AV$6=$BJ40,"◆",IF(AND(AV$6&gt;=$BF40,AV$6&lt;=$BG40),IF(AND(AV$6&gt;=$BD40,AV$6&lt;=$BE40),"実","外"),IF(AND(AV$6&gt;=$BD40,AV$6&lt;=$BE40),"計",IF(AND(AV$6&gt;=$BH40,AV$6&lt;=$BI40),"遅","")))))</f>
        <v/>
      </c>
      <c r="AW40" s="93" t="str">
        <f>IF($BB40="","",IF(AW$6=$BJ40,"◆",IF(AND(AW$6&gt;=$BF40,AW$6&lt;=$BG40),IF(AND(AW$6&gt;=$BD40,AW$6&lt;=$BE40),"実","外"),IF(AND(AW$6&gt;=$BD40,AW$6&lt;=$BE40),"計",IF(AND(AW$6&gt;=$BH40,AW$6&lt;=$BI40),"遅","")))))</f>
        <v/>
      </c>
      <c r="AX40" s="93" t="str">
        <f>IF($BB40="","",IF(AX$6=$BJ40,"◆",IF(AND(AX$6&gt;=$BF40,AX$6&lt;=$BG40),IF(AND(AX$6&gt;=$BD40,AX$6&lt;=$BE40),"実","外"),IF(AND(AX$6&gt;=$BD40,AX$6&lt;=$BE40),"計",IF(AND(AX$6&gt;=$BH40,AX$6&lt;=$BI40),"遅","")))))</f>
        <v/>
      </c>
      <c r="AY40" s="93" t="str">
        <f>IF($BB40="","",IF(AY$6=$BJ40,"◆",IF(AND(AY$6&gt;=$BF40,AY$6&lt;=$BG40),IF(AND(AY$6&gt;=$BD40,AY$6&lt;=$BE40),"実","外"),IF(AND(AY$6&gt;=$BD40,AY$6&lt;=$BE40),"計",IF(AND(AY$6&gt;=$BH40,AY$6&lt;=$BI40),"遅","")))))</f>
        <v/>
      </c>
      <c r="AZ40" s="93" t="str">
        <f>IF($BB40="","",IF(AZ$6=$BJ40,"◆",IF(AND(AZ$6&gt;=$BF40,AZ$6&lt;=$BG40),IF(AND(AZ$6&gt;=$BD40,AZ$6&lt;=$BE40),"実","外"),IF(AND(AZ$6&gt;=$BD40,AZ$6&lt;=$BE40),"計",IF(AND(AZ$6&gt;=$BH40,AZ$6&lt;=$BI40),"遅","")))))</f>
        <v/>
      </c>
      <c r="BB40" t="str">
        <f>IF(33&gt;COUNTIF(tblSteps[日別対象],1),"",IFERROR(MATCH(33,tblSteps[日別順位],0),""))</f>
        <v/>
      </c>
      <c r="BC40" t="str">
        <f>IF($BB40="","",INDEX(tblSteps[案件ID],$BB40)&amp;"")</f>
        <v/>
      </c>
      <c r="BD40" t="str">
        <f>IF($BB40="","",INDEX(tblSteps[計開],$BB40))</f>
        <v/>
      </c>
      <c r="BE40" t="str">
        <f>IF($BB40="","",INDEX(tblSteps[計終],$BB40))</f>
        <v/>
      </c>
      <c r="BF40" t="str">
        <f>IF($BB40="","",INDEX(tblSteps[実開],$BB40))</f>
        <v/>
      </c>
      <c r="BG40" t="str">
        <f>IF($BB40="","",INDEX(tblSteps[実終],$BB40))</f>
        <v/>
      </c>
      <c r="BH40" t="str">
        <f>IF($BB40="","",INDEX(tblSteps[遅開],$BB40))</f>
        <v/>
      </c>
      <c r="BI40" t="str">
        <f>IF($BB40="","",INDEX(tblSteps[遅終],$BB40))</f>
        <v/>
      </c>
      <c r="BJ40" t="str">
        <f>IF($BB40="","",INDEX(tblSteps[納期値],$BB40))</f>
        <v/>
      </c>
    </row>
    <row r="41" ht="18" customHeight="1">
      <c r="A41" s="89" t="str">
        <f>IF($BB41="","",INDEX(tblSteps[工程ID],$BB41)&amp;"")</f>
        <v/>
      </c>
      <c r="B41" s="88" t="str">
        <f>IF($BB41="","",IF($BC41=$BC40,"",$BC41&amp;" "&amp;INDEX(tblSteps[案件名],$BB41)))</f>
        <v/>
      </c>
      <c r="C41" s="88" t="str">
        <f>IF($BB41="","",INDEX(tblSteps[工程名],$BB41)&amp;"")</f>
        <v/>
      </c>
      <c r="D41" s="89" t="str">
        <f>IF($BB41="","",INDEX(tblSteps[担当],$BB41)&amp;"")</f>
        <v/>
      </c>
      <c r="E41" s="89" t="str">
        <f>IF($BB41="","",INDEX(tblSteps[状態],$BB41)&amp;"")</f>
        <v/>
      </c>
      <c r="F41" s="90" t="str">
        <f>IF($BB41="","",IF(ISNUMBER(INDEX(tblSteps[進捗率],$BB41)),INDEX(tblSteps[進捗率],$BB41),""))</f>
        <v/>
      </c>
      <c r="G41" s="91" t="str">
        <f>IF($BB41="","",IF(ISNUMBER(INDEX(tblSteps[計画開始日],$BB41)),INDEX(tblSteps[計画開始日],$BB41),"未入力"))</f>
        <v/>
      </c>
      <c r="H41" s="91" t="str">
        <f>IF($BB41="","",IF(ISNUMBER(INDEX(tblSteps[計画終了日],$BB41)),INDEX(tblSteps[計画終了日],$BB41),"未入力"))</f>
        <v/>
      </c>
      <c r="I41" s="91" t="str">
        <f>IF($BB41="","",IF(ISNUMBER(INDEX(tblSteps[完了見込日],$BB41)),INDEX(tblSteps[完了見込日],$BB41),""))</f>
        <v/>
      </c>
      <c r="J41" s="92" t="str">
        <f>IF($BB41="","",INDEX(tblSteps[注意短],$BB41)&amp;"")</f>
        <v/>
      </c>
      <c r="K41" s="93" t="str">
        <f>IF($BB41="","",IF(K$6=$BJ41,"◆",IF(AND(K$6&gt;=$BF41,K$6&lt;=$BG41),IF(AND(K$6&gt;=$BD41,K$6&lt;=$BE41),"実","外"),IF(AND(K$6&gt;=$BD41,K$6&lt;=$BE41),"計",IF(AND(K$6&gt;=$BH41,K$6&lt;=$BI41),"遅","")))))</f>
        <v/>
      </c>
      <c r="L41" s="93" t="str">
        <f>IF($BB41="","",IF(L$6=$BJ41,"◆",IF(AND(L$6&gt;=$BF41,L$6&lt;=$BG41),IF(AND(L$6&gt;=$BD41,L$6&lt;=$BE41),"実","外"),IF(AND(L$6&gt;=$BD41,L$6&lt;=$BE41),"計",IF(AND(L$6&gt;=$BH41,L$6&lt;=$BI41),"遅","")))))</f>
        <v/>
      </c>
      <c r="M41" s="93" t="str">
        <f>IF($BB41="","",IF(M$6=$BJ41,"◆",IF(AND(M$6&gt;=$BF41,M$6&lt;=$BG41),IF(AND(M$6&gt;=$BD41,M$6&lt;=$BE41),"実","外"),IF(AND(M$6&gt;=$BD41,M$6&lt;=$BE41),"計",IF(AND(M$6&gt;=$BH41,M$6&lt;=$BI41),"遅","")))))</f>
        <v/>
      </c>
      <c r="N41" s="93" t="str">
        <f>IF($BB41="","",IF(N$6=$BJ41,"◆",IF(AND(N$6&gt;=$BF41,N$6&lt;=$BG41),IF(AND(N$6&gt;=$BD41,N$6&lt;=$BE41),"実","外"),IF(AND(N$6&gt;=$BD41,N$6&lt;=$BE41),"計",IF(AND(N$6&gt;=$BH41,N$6&lt;=$BI41),"遅","")))))</f>
        <v/>
      </c>
      <c r="O41" s="93" t="str">
        <f>IF($BB41="","",IF(O$6=$BJ41,"◆",IF(AND(O$6&gt;=$BF41,O$6&lt;=$BG41),IF(AND(O$6&gt;=$BD41,O$6&lt;=$BE41),"実","外"),IF(AND(O$6&gt;=$BD41,O$6&lt;=$BE41),"計",IF(AND(O$6&gt;=$BH41,O$6&lt;=$BI41),"遅","")))))</f>
        <v/>
      </c>
      <c r="P41" s="93" t="str">
        <f>IF($BB41="","",IF(P$6=$BJ41,"◆",IF(AND(P$6&gt;=$BF41,P$6&lt;=$BG41),IF(AND(P$6&gt;=$BD41,P$6&lt;=$BE41),"実","外"),IF(AND(P$6&gt;=$BD41,P$6&lt;=$BE41),"計",IF(AND(P$6&gt;=$BH41,P$6&lt;=$BI41),"遅","")))))</f>
        <v/>
      </c>
      <c r="Q41" s="93" t="str">
        <f>IF($BB41="","",IF(Q$6=$BJ41,"◆",IF(AND(Q$6&gt;=$BF41,Q$6&lt;=$BG41),IF(AND(Q$6&gt;=$BD41,Q$6&lt;=$BE41),"実","外"),IF(AND(Q$6&gt;=$BD41,Q$6&lt;=$BE41),"計",IF(AND(Q$6&gt;=$BH41,Q$6&lt;=$BI41),"遅","")))))</f>
        <v/>
      </c>
      <c r="R41" s="93" t="str">
        <f>IF($BB41="","",IF(R$6=$BJ41,"◆",IF(AND(R$6&gt;=$BF41,R$6&lt;=$BG41),IF(AND(R$6&gt;=$BD41,R$6&lt;=$BE41),"実","外"),IF(AND(R$6&gt;=$BD41,R$6&lt;=$BE41),"計",IF(AND(R$6&gt;=$BH41,R$6&lt;=$BI41),"遅","")))))</f>
        <v/>
      </c>
      <c r="S41" s="93" t="str">
        <f>IF($BB41="","",IF(S$6=$BJ41,"◆",IF(AND(S$6&gt;=$BF41,S$6&lt;=$BG41),IF(AND(S$6&gt;=$BD41,S$6&lt;=$BE41),"実","外"),IF(AND(S$6&gt;=$BD41,S$6&lt;=$BE41),"計",IF(AND(S$6&gt;=$BH41,S$6&lt;=$BI41),"遅","")))))</f>
        <v/>
      </c>
      <c r="T41" s="93" t="str">
        <f>IF($BB41="","",IF(T$6=$BJ41,"◆",IF(AND(T$6&gt;=$BF41,T$6&lt;=$BG41),IF(AND(T$6&gt;=$BD41,T$6&lt;=$BE41),"実","外"),IF(AND(T$6&gt;=$BD41,T$6&lt;=$BE41),"計",IF(AND(T$6&gt;=$BH41,T$6&lt;=$BI41),"遅","")))))</f>
        <v/>
      </c>
      <c r="U41" s="93" t="str">
        <f>IF($BB41="","",IF(U$6=$BJ41,"◆",IF(AND(U$6&gt;=$BF41,U$6&lt;=$BG41),IF(AND(U$6&gt;=$BD41,U$6&lt;=$BE41),"実","外"),IF(AND(U$6&gt;=$BD41,U$6&lt;=$BE41),"計",IF(AND(U$6&gt;=$BH41,U$6&lt;=$BI41),"遅","")))))</f>
        <v/>
      </c>
      <c r="V41" s="93" t="str">
        <f>IF($BB41="","",IF(V$6=$BJ41,"◆",IF(AND(V$6&gt;=$BF41,V$6&lt;=$BG41),IF(AND(V$6&gt;=$BD41,V$6&lt;=$BE41),"実","外"),IF(AND(V$6&gt;=$BD41,V$6&lt;=$BE41),"計",IF(AND(V$6&gt;=$BH41,V$6&lt;=$BI41),"遅","")))))</f>
        <v/>
      </c>
      <c r="W41" s="93" t="str">
        <f>IF($BB41="","",IF(W$6=$BJ41,"◆",IF(AND(W$6&gt;=$BF41,W$6&lt;=$BG41),IF(AND(W$6&gt;=$BD41,W$6&lt;=$BE41),"実","外"),IF(AND(W$6&gt;=$BD41,W$6&lt;=$BE41),"計",IF(AND(W$6&gt;=$BH41,W$6&lt;=$BI41),"遅","")))))</f>
        <v/>
      </c>
      <c r="X41" s="93" t="str">
        <f>IF($BB41="","",IF(X$6=$BJ41,"◆",IF(AND(X$6&gt;=$BF41,X$6&lt;=$BG41),IF(AND(X$6&gt;=$BD41,X$6&lt;=$BE41),"実","外"),IF(AND(X$6&gt;=$BD41,X$6&lt;=$BE41),"計",IF(AND(X$6&gt;=$BH41,X$6&lt;=$BI41),"遅","")))))</f>
        <v/>
      </c>
      <c r="Y41" s="93" t="str">
        <f>IF($BB41="","",IF(Y$6=$BJ41,"◆",IF(AND(Y$6&gt;=$BF41,Y$6&lt;=$BG41),IF(AND(Y$6&gt;=$BD41,Y$6&lt;=$BE41),"実","外"),IF(AND(Y$6&gt;=$BD41,Y$6&lt;=$BE41),"計",IF(AND(Y$6&gt;=$BH41,Y$6&lt;=$BI41),"遅","")))))</f>
        <v/>
      </c>
      <c r="Z41" s="93" t="str">
        <f>IF($BB41="","",IF(Z$6=$BJ41,"◆",IF(AND(Z$6&gt;=$BF41,Z$6&lt;=$BG41),IF(AND(Z$6&gt;=$BD41,Z$6&lt;=$BE41),"実","外"),IF(AND(Z$6&gt;=$BD41,Z$6&lt;=$BE41),"計",IF(AND(Z$6&gt;=$BH41,Z$6&lt;=$BI41),"遅","")))))</f>
        <v/>
      </c>
      <c r="AA41" s="93" t="str">
        <f>IF($BB41="","",IF(AA$6=$BJ41,"◆",IF(AND(AA$6&gt;=$BF41,AA$6&lt;=$BG41),IF(AND(AA$6&gt;=$BD41,AA$6&lt;=$BE41),"実","外"),IF(AND(AA$6&gt;=$BD41,AA$6&lt;=$BE41),"計",IF(AND(AA$6&gt;=$BH41,AA$6&lt;=$BI41),"遅","")))))</f>
        <v/>
      </c>
      <c r="AB41" s="93" t="str">
        <f>IF($BB41="","",IF(AB$6=$BJ41,"◆",IF(AND(AB$6&gt;=$BF41,AB$6&lt;=$BG41),IF(AND(AB$6&gt;=$BD41,AB$6&lt;=$BE41),"実","外"),IF(AND(AB$6&gt;=$BD41,AB$6&lt;=$BE41),"計",IF(AND(AB$6&gt;=$BH41,AB$6&lt;=$BI41),"遅","")))))</f>
        <v/>
      </c>
      <c r="AC41" s="93" t="str">
        <f>IF($BB41="","",IF(AC$6=$BJ41,"◆",IF(AND(AC$6&gt;=$BF41,AC$6&lt;=$BG41),IF(AND(AC$6&gt;=$BD41,AC$6&lt;=$BE41),"実","外"),IF(AND(AC$6&gt;=$BD41,AC$6&lt;=$BE41),"計",IF(AND(AC$6&gt;=$BH41,AC$6&lt;=$BI41),"遅","")))))</f>
        <v/>
      </c>
      <c r="AD41" s="93" t="str">
        <f>IF($BB41="","",IF(AD$6=$BJ41,"◆",IF(AND(AD$6&gt;=$BF41,AD$6&lt;=$BG41),IF(AND(AD$6&gt;=$BD41,AD$6&lt;=$BE41),"実","外"),IF(AND(AD$6&gt;=$BD41,AD$6&lt;=$BE41),"計",IF(AND(AD$6&gt;=$BH41,AD$6&lt;=$BI41),"遅","")))))</f>
        <v/>
      </c>
      <c r="AE41" s="93" t="str">
        <f>IF($BB41="","",IF(AE$6=$BJ41,"◆",IF(AND(AE$6&gt;=$BF41,AE$6&lt;=$BG41),IF(AND(AE$6&gt;=$BD41,AE$6&lt;=$BE41),"実","外"),IF(AND(AE$6&gt;=$BD41,AE$6&lt;=$BE41),"計",IF(AND(AE$6&gt;=$BH41,AE$6&lt;=$BI41),"遅","")))))</f>
        <v/>
      </c>
      <c r="AF41" s="93" t="str">
        <f>IF($BB41="","",IF(AF$6=$BJ41,"◆",IF(AND(AF$6&gt;=$BF41,AF$6&lt;=$BG41),IF(AND(AF$6&gt;=$BD41,AF$6&lt;=$BE41),"実","外"),IF(AND(AF$6&gt;=$BD41,AF$6&lt;=$BE41),"計",IF(AND(AF$6&gt;=$BH41,AF$6&lt;=$BI41),"遅","")))))</f>
        <v/>
      </c>
      <c r="AG41" s="93" t="str">
        <f>IF($BB41="","",IF(AG$6=$BJ41,"◆",IF(AND(AG$6&gt;=$BF41,AG$6&lt;=$BG41),IF(AND(AG$6&gt;=$BD41,AG$6&lt;=$BE41),"実","外"),IF(AND(AG$6&gt;=$BD41,AG$6&lt;=$BE41),"計",IF(AND(AG$6&gt;=$BH41,AG$6&lt;=$BI41),"遅","")))))</f>
        <v/>
      </c>
      <c r="AH41" s="93" t="str">
        <f>IF($BB41="","",IF(AH$6=$BJ41,"◆",IF(AND(AH$6&gt;=$BF41,AH$6&lt;=$BG41),IF(AND(AH$6&gt;=$BD41,AH$6&lt;=$BE41),"実","外"),IF(AND(AH$6&gt;=$BD41,AH$6&lt;=$BE41),"計",IF(AND(AH$6&gt;=$BH41,AH$6&lt;=$BI41),"遅","")))))</f>
        <v/>
      </c>
      <c r="AI41" s="93" t="str">
        <f>IF($BB41="","",IF(AI$6=$BJ41,"◆",IF(AND(AI$6&gt;=$BF41,AI$6&lt;=$BG41),IF(AND(AI$6&gt;=$BD41,AI$6&lt;=$BE41),"実","外"),IF(AND(AI$6&gt;=$BD41,AI$6&lt;=$BE41),"計",IF(AND(AI$6&gt;=$BH41,AI$6&lt;=$BI41),"遅","")))))</f>
        <v/>
      </c>
      <c r="AJ41" s="93" t="str">
        <f>IF($BB41="","",IF(AJ$6=$BJ41,"◆",IF(AND(AJ$6&gt;=$BF41,AJ$6&lt;=$BG41),IF(AND(AJ$6&gt;=$BD41,AJ$6&lt;=$BE41),"実","外"),IF(AND(AJ$6&gt;=$BD41,AJ$6&lt;=$BE41),"計",IF(AND(AJ$6&gt;=$BH41,AJ$6&lt;=$BI41),"遅","")))))</f>
        <v/>
      </c>
      <c r="AK41" s="93" t="str">
        <f>IF($BB41="","",IF(AK$6=$BJ41,"◆",IF(AND(AK$6&gt;=$BF41,AK$6&lt;=$BG41),IF(AND(AK$6&gt;=$BD41,AK$6&lt;=$BE41),"実","外"),IF(AND(AK$6&gt;=$BD41,AK$6&lt;=$BE41),"計",IF(AND(AK$6&gt;=$BH41,AK$6&lt;=$BI41),"遅","")))))</f>
        <v/>
      </c>
      <c r="AL41" s="93" t="str">
        <f>IF($BB41="","",IF(AL$6=$BJ41,"◆",IF(AND(AL$6&gt;=$BF41,AL$6&lt;=$BG41),IF(AND(AL$6&gt;=$BD41,AL$6&lt;=$BE41),"実","外"),IF(AND(AL$6&gt;=$BD41,AL$6&lt;=$BE41),"計",IF(AND(AL$6&gt;=$BH41,AL$6&lt;=$BI41),"遅","")))))</f>
        <v/>
      </c>
      <c r="AM41" s="93" t="str">
        <f>IF($BB41="","",IF(AM$6=$BJ41,"◆",IF(AND(AM$6&gt;=$BF41,AM$6&lt;=$BG41),IF(AND(AM$6&gt;=$BD41,AM$6&lt;=$BE41),"実","外"),IF(AND(AM$6&gt;=$BD41,AM$6&lt;=$BE41),"計",IF(AND(AM$6&gt;=$BH41,AM$6&lt;=$BI41),"遅","")))))</f>
        <v/>
      </c>
      <c r="AN41" s="93" t="str">
        <f>IF($BB41="","",IF(AN$6=$BJ41,"◆",IF(AND(AN$6&gt;=$BF41,AN$6&lt;=$BG41),IF(AND(AN$6&gt;=$BD41,AN$6&lt;=$BE41),"実","外"),IF(AND(AN$6&gt;=$BD41,AN$6&lt;=$BE41),"計",IF(AND(AN$6&gt;=$BH41,AN$6&lt;=$BI41),"遅","")))))</f>
        <v/>
      </c>
      <c r="AO41" s="93" t="str">
        <f>IF($BB41="","",IF(AO$6=$BJ41,"◆",IF(AND(AO$6&gt;=$BF41,AO$6&lt;=$BG41),IF(AND(AO$6&gt;=$BD41,AO$6&lt;=$BE41),"実","外"),IF(AND(AO$6&gt;=$BD41,AO$6&lt;=$BE41),"計",IF(AND(AO$6&gt;=$BH41,AO$6&lt;=$BI41),"遅","")))))</f>
        <v/>
      </c>
      <c r="AP41" s="93" t="str">
        <f>IF($BB41="","",IF(AP$6=$BJ41,"◆",IF(AND(AP$6&gt;=$BF41,AP$6&lt;=$BG41),IF(AND(AP$6&gt;=$BD41,AP$6&lt;=$BE41),"実","外"),IF(AND(AP$6&gt;=$BD41,AP$6&lt;=$BE41),"計",IF(AND(AP$6&gt;=$BH41,AP$6&lt;=$BI41),"遅","")))))</f>
        <v/>
      </c>
      <c r="AQ41" s="93" t="str">
        <f>IF($BB41="","",IF(AQ$6=$BJ41,"◆",IF(AND(AQ$6&gt;=$BF41,AQ$6&lt;=$BG41),IF(AND(AQ$6&gt;=$BD41,AQ$6&lt;=$BE41),"実","外"),IF(AND(AQ$6&gt;=$BD41,AQ$6&lt;=$BE41),"計",IF(AND(AQ$6&gt;=$BH41,AQ$6&lt;=$BI41),"遅","")))))</f>
        <v/>
      </c>
      <c r="AR41" s="93" t="str">
        <f>IF($BB41="","",IF(AR$6=$BJ41,"◆",IF(AND(AR$6&gt;=$BF41,AR$6&lt;=$BG41),IF(AND(AR$6&gt;=$BD41,AR$6&lt;=$BE41),"実","外"),IF(AND(AR$6&gt;=$BD41,AR$6&lt;=$BE41),"計",IF(AND(AR$6&gt;=$BH41,AR$6&lt;=$BI41),"遅","")))))</f>
        <v/>
      </c>
      <c r="AS41" s="93" t="str">
        <f>IF($BB41="","",IF(AS$6=$BJ41,"◆",IF(AND(AS$6&gt;=$BF41,AS$6&lt;=$BG41),IF(AND(AS$6&gt;=$BD41,AS$6&lt;=$BE41),"実","外"),IF(AND(AS$6&gt;=$BD41,AS$6&lt;=$BE41),"計",IF(AND(AS$6&gt;=$BH41,AS$6&lt;=$BI41),"遅","")))))</f>
        <v/>
      </c>
      <c r="AT41" s="93" t="str">
        <f>IF($BB41="","",IF(AT$6=$BJ41,"◆",IF(AND(AT$6&gt;=$BF41,AT$6&lt;=$BG41),IF(AND(AT$6&gt;=$BD41,AT$6&lt;=$BE41),"実","外"),IF(AND(AT$6&gt;=$BD41,AT$6&lt;=$BE41),"計",IF(AND(AT$6&gt;=$BH41,AT$6&lt;=$BI41),"遅","")))))</f>
        <v/>
      </c>
      <c r="AU41" s="93" t="str">
        <f>IF($BB41="","",IF(AU$6=$BJ41,"◆",IF(AND(AU$6&gt;=$BF41,AU$6&lt;=$BG41),IF(AND(AU$6&gt;=$BD41,AU$6&lt;=$BE41),"実","外"),IF(AND(AU$6&gt;=$BD41,AU$6&lt;=$BE41),"計",IF(AND(AU$6&gt;=$BH41,AU$6&lt;=$BI41),"遅","")))))</f>
        <v/>
      </c>
      <c r="AV41" s="93" t="str">
        <f>IF($BB41="","",IF(AV$6=$BJ41,"◆",IF(AND(AV$6&gt;=$BF41,AV$6&lt;=$BG41),IF(AND(AV$6&gt;=$BD41,AV$6&lt;=$BE41),"実","外"),IF(AND(AV$6&gt;=$BD41,AV$6&lt;=$BE41),"計",IF(AND(AV$6&gt;=$BH41,AV$6&lt;=$BI41),"遅","")))))</f>
        <v/>
      </c>
      <c r="AW41" s="93" t="str">
        <f>IF($BB41="","",IF(AW$6=$BJ41,"◆",IF(AND(AW$6&gt;=$BF41,AW$6&lt;=$BG41),IF(AND(AW$6&gt;=$BD41,AW$6&lt;=$BE41),"実","外"),IF(AND(AW$6&gt;=$BD41,AW$6&lt;=$BE41),"計",IF(AND(AW$6&gt;=$BH41,AW$6&lt;=$BI41),"遅","")))))</f>
        <v/>
      </c>
      <c r="AX41" s="93" t="str">
        <f>IF($BB41="","",IF(AX$6=$BJ41,"◆",IF(AND(AX$6&gt;=$BF41,AX$6&lt;=$BG41),IF(AND(AX$6&gt;=$BD41,AX$6&lt;=$BE41),"実","外"),IF(AND(AX$6&gt;=$BD41,AX$6&lt;=$BE41),"計",IF(AND(AX$6&gt;=$BH41,AX$6&lt;=$BI41),"遅","")))))</f>
        <v/>
      </c>
      <c r="AY41" s="93" t="str">
        <f>IF($BB41="","",IF(AY$6=$BJ41,"◆",IF(AND(AY$6&gt;=$BF41,AY$6&lt;=$BG41),IF(AND(AY$6&gt;=$BD41,AY$6&lt;=$BE41),"実","外"),IF(AND(AY$6&gt;=$BD41,AY$6&lt;=$BE41),"計",IF(AND(AY$6&gt;=$BH41,AY$6&lt;=$BI41),"遅","")))))</f>
        <v/>
      </c>
      <c r="AZ41" s="93" t="str">
        <f>IF($BB41="","",IF(AZ$6=$BJ41,"◆",IF(AND(AZ$6&gt;=$BF41,AZ$6&lt;=$BG41),IF(AND(AZ$6&gt;=$BD41,AZ$6&lt;=$BE41),"実","外"),IF(AND(AZ$6&gt;=$BD41,AZ$6&lt;=$BE41),"計",IF(AND(AZ$6&gt;=$BH41,AZ$6&lt;=$BI41),"遅","")))))</f>
        <v/>
      </c>
      <c r="BB41" t="str">
        <f>IF(34&gt;COUNTIF(tblSteps[日別対象],1),"",IFERROR(MATCH(34,tblSteps[日別順位],0),""))</f>
        <v/>
      </c>
      <c r="BC41" t="str">
        <f>IF($BB41="","",INDEX(tblSteps[案件ID],$BB41)&amp;"")</f>
        <v/>
      </c>
      <c r="BD41" t="str">
        <f>IF($BB41="","",INDEX(tblSteps[計開],$BB41))</f>
        <v/>
      </c>
      <c r="BE41" t="str">
        <f>IF($BB41="","",INDEX(tblSteps[計終],$BB41))</f>
        <v/>
      </c>
      <c r="BF41" t="str">
        <f>IF($BB41="","",INDEX(tblSteps[実開],$BB41))</f>
        <v/>
      </c>
      <c r="BG41" t="str">
        <f>IF($BB41="","",INDEX(tblSteps[実終],$BB41))</f>
        <v/>
      </c>
      <c r="BH41" t="str">
        <f>IF($BB41="","",INDEX(tblSteps[遅開],$BB41))</f>
        <v/>
      </c>
      <c r="BI41" t="str">
        <f>IF($BB41="","",INDEX(tblSteps[遅終],$BB41))</f>
        <v/>
      </c>
      <c r="BJ41" t="str">
        <f>IF($BB41="","",INDEX(tblSteps[納期値],$BB41))</f>
        <v/>
      </c>
    </row>
    <row r="42" ht="18" customHeight="1">
      <c r="A42" s="89" t="str">
        <f>IF($BB42="","",INDEX(tblSteps[工程ID],$BB42)&amp;"")</f>
        <v/>
      </c>
      <c r="B42" s="88" t="str">
        <f>IF($BB42="","",IF($BC42=$BC41,"",$BC42&amp;" "&amp;INDEX(tblSteps[案件名],$BB42)))</f>
        <v/>
      </c>
      <c r="C42" s="88" t="str">
        <f>IF($BB42="","",INDEX(tblSteps[工程名],$BB42)&amp;"")</f>
        <v/>
      </c>
      <c r="D42" s="89" t="str">
        <f>IF($BB42="","",INDEX(tblSteps[担当],$BB42)&amp;"")</f>
        <v/>
      </c>
      <c r="E42" s="89" t="str">
        <f>IF($BB42="","",INDEX(tblSteps[状態],$BB42)&amp;"")</f>
        <v/>
      </c>
      <c r="F42" s="90" t="str">
        <f>IF($BB42="","",IF(ISNUMBER(INDEX(tblSteps[進捗率],$BB42)),INDEX(tblSteps[進捗率],$BB42),""))</f>
        <v/>
      </c>
      <c r="G42" s="91" t="str">
        <f>IF($BB42="","",IF(ISNUMBER(INDEX(tblSteps[計画開始日],$BB42)),INDEX(tblSteps[計画開始日],$BB42),"未入力"))</f>
        <v/>
      </c>
      <c r="H42" s="91" t="str">
        <f>IF($BB42="","",IF(ISNUMBER(INDEX(tblSteps[計画終了日],$BB42)),INDEX(tblSteps[計画終了日],$BB42),"未入力"))</f>
        <v/>
      </c>
      <c r="I42" s="91" t="str">
        <f>IF($BB42="","",IF(ISNUMBER(INDEX(tblSteps[完了見込日],$BB42)),INDEX(tblSteps[完了見込日],$BB42),""))</f>
        <v/>
      </c>
      <c r="J42" s="92" t="str">
        <f>IF($BB42="","",INDEX(tblSteps[注意短],$BB42)&amp;"")</f>
        <v/>
      </c>
      <c r="K42" s="93" t="str">
        <f>IF($BB42="","",IF(K$6=$BJ42,"◆",IF(AND(K$6&gt;=$BF42,K$6&lt;=$BG42),IF(AND(K$6&gt;=$BD42,K$6&lt;=$BE42),"実","外"),IF(AND(K$6&gt;=$BD42,K$6&lt;=$BE42),"計",IF(AND(K$6&gt;=$BH42,K$6&lt;=$BI42),"遅","")))))</f>
        <v/>
      </c>
      <c r="L42" s="93" t="str">
        <f>IF($BB42="","",IF(L$6=$BJ42,"◆",IF(AND(L$6&gt;=$BF42,L$6&lt;=$BG42),IF(AND(L$6&gt;=$BD42,L$6&lt;=$BE42),"実","外"),IF(AND(L$6&gt;=$BD42,L$6&lt;=$BE42),"計",IF(AND(L$6&gt;=$BH42,L$6&lt;=$BI42),"遅","")))))</f>
        <v/>
      </c>
      <c r="M42" s="93" t="str">
        <f>IF($BB42="","",IF(M$6=$BJ42,"◆",IF(AND(M$6&gt;=$BF42,M$6&lt;=$BG42),IF(AND(M$6&gt;=$BD42,M$6&lt;=$BE42),"実","外"),IF(AND(M$6&gt;=$BD42,M$6&lt;=$BE42),"計",IF(AND(M$6&gt;=$BH42,M$6&lt;=$BI42),"遅","")))))</f>
        <v/>
      </c>
      <c r="N42" s="93" t="str">
        <f>IF($BB42="","",IF(N$6=$BJ42,"◆",IF(AND(N$6&gt;=$BF42,N$6&lt;=$BG42),IF(AND(N$6&gt;=$BD42,N$6&lt;=$BE42),"実","外"),IF(AND(N$6&gt;=$BD42,N$6&lt;=$BE42),"計",IF(AND(N$6&gt;=$BH42,N$6&lt;=$BI42),"遅","")))))</f>
        <v/>
      </c>
      <c r="O42" s="93" t="str">
        <f>IF($BB42="","",IF(O$6=$BJ42,"◆",IF(AND(O$6&gt;=$BF42,O$6&lt;=$BG42),IF(AND(O$6&gt;=$BD42,O$6&lt;=$BE42),"実","外"),IF(AND(O$6&gt;=$BD42,O$6&lt;=$BE42),"計",IF(AND(O$6&gt;=$BH42,O$6&lt;=$BI42),"遅","")))))</f>
        <v/>
      </c>
      <c r="P42" s="93" t="str">
        <f>IF($BB42="","",IF(P$6=$BJ42,"◆",IF(AND(P$6&gt;=$BF42,P$6&lt;=$BG42),IF(AND(P$6&gt;=$BD42,P$6&lt;=$BE42),"実","外"),IF(AND(P$6&gt;=$BD42,P$6&lt;=$BE42),"計",IF(AND(P$6&gt;=$BH42,P$6&lt;=$BI42),"遅","")))))</f>
        <v/>
      </c>
      <c r="Q42" s="93" t="str">
        <f>IF($BB42="","",IF(Q$6=$BJ42,"◆",IF(AND(Q$6&gt;=$BF42,Q$6&lt;=$BG42),IF(AND(Q$6&gt;=$BD42,Q$6&lt;=$BE42),"実","外"),IF(AND(Q$6&gt;=$BD42,Q$6&lt;=$BE42),"計",IF(AND(Q$6&gt;=$BH42,Q$6&lt;=$BI42),"遅","")))))</f>
        <v/>
      </c>
      <c r="R42" s="93" t="str">
        <f>IF($BB42="","",IF(R$6=$BJ42,"◆",IF(AND(R$6&gt;=$BF42,R$6&lt;=$BG42),IF(AND(R$6&gt;=$BD42,R$6&lt;=$BE42),"実","外"),IF(AND(R$6&gt;=$BD42,R$6&lt;=$BE42),"計",IF(AND(R$6&gt;=$BH42,R$6&lt;=$BI42),"遅","")))))</f>
        <v/>
      </c>
      <c r="S42" s="93" t="str">
        <f>IF($BB42="","",IF(S$6=$BJ42,"◆",IF(AND(S$6&gt;=$BF42,S$6&lt;=$BG42),IF(AND(S$6&gt;=$BD42,S$6&lt;=$BE42),"実","外"),IF(AND(S$6&gt;=$BD42,S$6&lt;=$BE42),"計",IF(AND(S$6&gt;=$BH42,S$6&lt;=$BI42),"遅","")))))</f>
        <v/>
      </c>
      <c r="T42" s="93" t="str">
        <f>IF($BB42="","",IF(T$6=$BJ42,"◆",IF(AND(T$6&gt;=$BF42,T$6&lt;=$BG42),IF(AND(T$6&gt;=$BD42,T$6&lt;=$BE42),"実","外"),IF(AND(T$6&gt;=$BD42,T$6&lt;=$BE42),"計",IF(AND(T$6&gt;=$BH42,T$6&lt;=$BI42),"遅","")))))</f>
        <v/>
      </c>
      <c r="U42" s="93" t="str">
        <f>IF($BB42="","",IF(U$6=$BJ42,"◆",IF(AND(U$6&gt;=$BF42,U$6&lt;=$BG42),IF(AND(U$6&gt;=$BD42,U$6&lt;=$BE42),"実","外"),IF(AND(U$6&gt;=$BD42,U$6&lt;=$BE42),"計",IF(AND(U$6&gt;=$BH42,U$6&lt;=$BI42),"遅","")))))</f>
        <v/>
      </c>
      <c r="V42" s="93" t="str">
        <f>IF($BB42="","",IF(V$6=$BJ42,"◆",IF(AND(V$6&gt;=$BF42,V$6&lt;=$BG42),IF(AND(V$6&gt;=$BD42,V$6&lt;=$BE42),"実","外"),IF(AND(V$6&gt;=$BD42,V$6&lt;=$BE42),"計",IF(AND(V$6&gt;=$BH42,V$6&lt;=$BI42),"遅","")))))</f>
        <v/>
      </c>
      <c r="W42" s="93" t="str">
        <f>IF($BB42="","",IF(W$6=$BJ42,"◆",IF(AND(W$6&gt;=$BF42,W$6&lt;=$BG42),IF(AND(W$6&gt;=$BD42,W$6&lt;=$BE42),"実","外"),IF(AND(W$6&gt;=$BD42,W$6&lt;=$BE42),"計",IF(AND(W$6&gt;=$BH42,W$6&lt;=$BI42),"遅","")))))</f>
        <v/>
      </c>
      <c r="X42" s="93" t="str">
        <f>IF($BB42="","",IF(X$6=$BJ42,"◆",IF(AND(X$6&gt;=$BF42,X$6&lt;=$BG42),IF(AND(X$6&gt;=$BD42,X$6&lt;=$BE42),"実","外"),IF(AND(X$6&gt;=$BD42,X$6&lt;=$BE42),"計",IF(AND(X$6&gt;=$BH42,X$6&lt;=$BI42),"遅","")))))</f>
        <v/>
      </c>
      <c r="Y42" s="93" t="str">
        <f>IF($BB42="","",IF(Y$6=$BJ42,"◆",IF(AND(Y$6&gt;=$BF42,Y$6&lt;=$BG42),IF(AND(Y$6&gt;=$BD42,Y$6&lt;=$BE42),"実","外"),IF(AND(Y$6&gt;=$BD42,Y$6&lt;=$BE42),"計",IF(AND(Y$6&gt;=$BH42,Y$6&lt;=$BI42),"遅","")))))</f>
        <v/>
      </c>
      <c r="Z42" s="93" t="str">
        <f>IF($BB42="","",IF(Z$6=$BJ42,"◆",IF(AND(Z$6&gt;=$BF42,Z$6&lt;=$BG42),IF(AND(Z$6&gt;=$BD42,Z$6&lt;=$BE42),"実","外"),IF(AND(Z$6&gt;=$BD42,Z$6&lt;=$BE42),"計",IF(AND(Z$6&gt;=$BH42,Z$6&lt;=$BI42),"遅","")))))</f>
        <v/>
      </c>
      <c r="AA42" s="93" t="str">
        <f>IF($BB42="","",IF(AA$6=$BJ42,"◆",IF(AND(AA$6&gt;=$BF42,AA$6&lt;=$BG42),IF(AND(AA$6&gt;=$BD42,AA$6&lt;=$BE42),"実","外"),IF(AND(AA$6&gt;=$BD42,AA$6&lt;=$BE42),"計",IF(AND(AA$6&gt;=$BH42,AA$6&lt;=$BI42),"遅","")))))</f>
        <v/>
      </c>
      <c r="AB42" s="93" t="str">
        <f>IF($BB42="","",IF(AB$6=$BJ42,"◆",IF(AND(AB$6&gt;=$BF42,AB$6&lt;=$BG42),IF(AND(AB$6&gt;=$BD42,AB$6&lt;=$BE42),"実","外"),IF(AND(AB$6&gt;=$BD42,AB$6&lt;=$BE42),"計",IF(AND(AB$6&gt;=$BH42,AB$6&lt;=$BI42),"遅","")))))</f>
        <v/>
      </c>
      <c r="AC42" s="93" t="str">
        <f>IF($BB42="","",IF(AC$6=$BJ42,"◆",IF(AND(AC$6&gt;=$BF42,AC$6&lt;=$BG42),IF(AND(AC$6&gt;=$BD42,AC$6&lt;=$BE42),"実","外"),IF(AND(AC$6&gt;=$BD42,AC$6&lt;=$BE42),"計",IF(AND(AC$6&gt;=$BH42,AC$6&lt;=$BI42),"遅","")))))</f>
        <v/>
      </c>
      <c r="AD42" s="93" t="str">
        <f>IF($BB42="","",IF(AD$6=$BJ42,"◆",IF(AND(AD$6&gt;=$BF42,AD$6&lt;=$BG42),IF(AND(AD$6&gt;=$BD42,AD$6&lt;=$BE42),"実","外"),IF(AND(AD$6&gt;=$BD42,AD$6&lt;=$BE42),"計",IF(AND(AD$6&gt;=$BH42,AD$6&lt;=$BI42),"遅","")))))</f>
        <v/>
      </c>
      <c r="AE42" s="93" t="str">
        <f>IF($BB42="","",IF(AE$6=$BJ42,"◆",IF(AND(AE$6&gt;=$BF42,AE$6&lt;=$BG42),IF(AND(AE$6&gt;=$BD42,AE$6&lt;=$BE42),"実","外"),IF(AND(AE$6&gt;=$BD42,AE$6&lt;=$BE42),"計",IF(AND(AE$6&gt;=$BH42,AE$6&lt;=$BI42),"遅","")))))</f>
        <v/>
      </c>
      <c r="AF42" s="93" t="str">
        <f>IF($BB42="","",IF(AF$6=$BJ42,"◆",IF(AND(AF$6&gt;=$BF42,AF$6&lt;=$BG42),IF(AND(AF$6&gt;=$BD42,AF$6&lt;=$BE42),"実","外"),IF(AND(AF$6&gt;=$BD42,AF$6&lt;=$BE42),"計",IF(AND(AF$6&gt;=$BH42,AF$6&lt;=$BI42),"遅","")))))</f>
        <v/>
      </c>
      <c r="AG42" s="93" t="str">
        <f>IF($BB42="","",IF(AG$6=$BJ42,"◆",IF(AND(AG$6&gt;=$BF42,AG$6&lt;=$BG42),IF(AND(AG$6&gt;=$BD42,AG$6&lt;=$BE42),"実","外"),IF(AND(AG$6&gt;=$BD42,AG$6&lt;=$BE42),"計",IF(AND(AG$6&gt;=$BH42,AG$6&lt;=$BI42),"遅","")))))</f>
        <v/>
      </c>
      <c r="AH42" s="93" t="str">
        <f>IF($BB42="","",IF(AH$6=$BJ42,"◆",IF(AND(AH$6&gt;=$BF42,AH$6&lt;=$BG42),IF(AND(AH$6&gt;=$BD42,AH$6&lt;=$BE42),"実","外"),IF(AND(AH$6&gt;=$BD42,AH$6&lt;=$BE42),"計",IF(AND(AH$6&gt;=$BH42,AH$6&lt;=$BI42),"遅","")))))</f>
        <v/>
      </c>
      <c r="AI42" s="93" t="str">
        <f>IF($BB42="","",IF(AI$6=$BJ42,"◆",IF(AND(AI$6&gt;=$BF42,AI$6&lt;=$BG42),IF(AND(AI$6&gt;=$BD42,AI$6&lt;=$BE42),"実","外"),IF(AND(AI$6&gt;=$BD42,AI$6&lt;=$BE42),"計",IF(AND(AI$6&gt;=$BH42,AI$6&lt;=$BI42),"遅","")))))</f>
        <v/>
      </c>
      <c r="AJ42" s="93" t="str">
        <f>IF($BB42="","",IF(AJ$6=$BJ42,"◆",IF(AND(AJ$6&gt;=$BF42,AJ$6&lt;=$BG42),IF(AND(AJ$6&gt;=$BD42,AJ$6&lt;=$BE42),"実","外"),IF(AND(AJ$6&gt;=$BD42,AJ$6&lt;=$BE42),"計",IF(AND(AJ$6&gt;=$BH42,AJ$6&lt;=$BI42),"遅","")))))</f>
        <v/>
      </c>
      <c r="AK42" s="93" t="str">
        <f>IF($BB42="","",IF(AK$6=$BJ42,"◆",IF(AND(AK$6&gt;=$BF42,AK$6&lt;=$BG42),IF(AND(AK$6&gt;=$BD42,AK$6&lt;=$BE42),"実","外"),IF(AND(AK$6&gt;=$BD42,AK$6&lt;=$BE42),"計",IF(AND(AK$6&gt;=$BH42,AK$6&lt;=$BI42),"遅","")))))</f>
        <v/>
      </c>
      <c r="AL42" s="93" t="str">
        <f>IF($BB42="","",IF(AL$6=$BJ42,"◆",IF(AND(AL$6&gt;=$BF42,AL$6&lt;=$BG42),IF(AND(AL$6&gt;=$BD42,AL$6&lt;=$BE42),"実","外"),IF(AND(AL$6&gt;=$BD42,AL$6&lt;=$BE42),"計",IF(AND(AL$6&gt;=$BH42,AL$6&lt;=$BI42),"遅","")))))</f>
        <v/>
      </c>
      <c r="AM42" s="93" t="str">
        <f>IF($BB42="","",IF(AM$6=$BJ42,"◆",IF(AND(AM$6&gt;=$BF42,AM$6&lt;=$BG42),IF(AND(AM$6&gt;=$BD42,AM$6&lt;=$BE42),"実","外"),IF(AND(AM$6&gt;=$BD42,AM$6&lt;=$BE42),"計",IF(AND(AM$6&gt;=$BH42,AM$6&lt;=$BI42),"遅","")))))</f>
        <v/>
      </c>
      <c r="AN42" s="93" t="str">
        <f>IF($BB42="","",IF(AN$6=$BJ42,"◆",IF(AND(AN$6&gt;=$BF42,AN$6&lt;=$BG42),IF(AND(AN$6&gt;=$BD42,AN$6&lt;=$BE42),"実","外"),IF(AND(AN$6&gt;=$BD42,AN$6&lt;=$BE42),"計",IF(AND(AN$6&gt;=$BH42,AN$6&lt;=$BI42),"遅","")))))</f>
        <v/>
      </c>
      <c r="AO42" s="93" t="str">
        <f>IF($BB42="","",IF(AO$6=$BJ42,"◆",IF(AND(AO$6&gt;=$BF42,AO$6&lt;=$BG42),IF(AND(AO$6&gt;=$BD42,AO$6&lt;=$BE42),"実","外"),IF(AND(AO$6&gt;=$BD42,AO$6&lt;=$BE42),"計",IF(AND(AO$6&gt;=$BH42,AO$6&lt;=$BI42),"遅","")))))</f>
        <v/>
      </c>
      <c r="AP42" s="93" t="str">
        <f>IF($BB42="","",IF(AP$6=$BJ42,"◆",IF(AND(AP$6&gt;=$BF42,AP$6&lt;=$BG42),IF(AND(AP$6&gt;=$BD42,AP$6&lt;=$BE42),"実","外"),IF(AND(AP$6&gt;=$BD42,AP$6&lt;=$BE42),"計",IF(AND(AP$6&gt;=$BH42,AP$6&lt;=$BI42),"遅","")))))</f>
        <v/>
      </c>
      <c r="AQ42" s="93" t="str">
        <f>IF($BB42="","",IF(AQ$6=$BJ42,"◆",IF(AND(AQ$6&gt;=$BF42,AQ$6&lt;=$BG42),IF(AND(AQ$6&gt;=$BD42,AQ$6&lt;=$BE42),"実","外"),IF(AND(AQ$6&gt;=$BD42,AQ$6&lt;=$BE42),"計",IF(AND(AQ$6&gt;=$BH42,AQ$6&lt;=$BI42),"遅","")))))</f>
        <v/>
      </c>
      <c r="AR42" s="93" t="str">
        <f>IF($BB42="","",IF(AR$6=$BJ42,"◆",IF(AND(AR$6&gt;=$BF42,AR$6&lt;=$BG42),IF(AND(AR$6&gt;=$BD42,AR$6&lt;=$BE42),"実","外"),IF(AND(AR$6&gt;=$BD42,AR$6&lt;=$BE42),"計",IF(AND(AR$6&gt;=$BH42,AR$6&lt;=$BI42),"遅","")))))</f>
        <v/>
      </c>
      <c r="AS42" s="93" t="str">
        <f>IF($BB42="","",IF(AS$6=$BJ42,"◆",IF(AND(AS$6&gt;=$BF42,AS$6&lt;=$BG42),IF(AND(AS$6&gt;=$BD42,AS$6&lt;=$BE42),"実","外"),IF(AND(AS$6&gt;=$BD42,AS$6&lt;=$BE42),"計",IF(AND(AS$6&gt;=$BH42,AS$6&lt;=$BI42),"遅","")))))</f>
        <v/>
      </c>
      <c r="AT42" s="93" t="str">
        <f>IF($BB42="","",IF(AT$6=$BJ42,"◆",IF(AND(AT$6&gt;=$BF42,AT$6&lt;=$BG42),IF(AND(AT$6&gt;=$BD42,AT$6&lt;=$BE42),"実","外"),IF(AND(AT$6&gt;=$BD42,AT$6&lt;=$BE42),"計",IF(AND(AT$6&gt;=$BH42,AT$6&lt;=$BI42),"遅","")))))</f>
        <v/>
      </c>
      <c r="AU42" s="93" t="str">
        <f>IF($BB42="","",IF(AU$6=$BJ42,"◆",IF(AND(AU$6&gt;=$BF42,AU$6&lt;=$BG42),IF(AND(AU$6&gt;=$BD42,AU$6&lt;=$BE42),"実","外"),IF(AND(AU$6&gt;=$BD42,AU$6&lt;=$BE42),"計",IF(AND(AU$6&gt;=$BH42,AU$6&lt;=$BI42),"遅","")))))</f>
        <v/>
      </c>
      <c r="AV42" s="93" t="str">
        <f>IF($BB42="","",IF(AV$6=$BJ42,"◆",IF(AND(AV$6&gt;=$BF42,AV$6&lt;=$BG42),IF(AND(AV$6&gt;=$BD42,AV$6&lt;=$BE42),"実","外"),IF(AND(AV$6&gt;=$BD42,AV$6&lt;=$BE42),"計",IF(AND(AV$6&gt;=$BH42,AV$6&lt;=$BI42),"遅","")))))</f>
        <v/>
      </c>
      <c r="AW42" s="93" t="str">
        <f>IF($BB42="","",IF(AW$6=$BJ42,"◆",IF(AND(AW$6&gt;=$BF42,AW$6&lt;=$BG42),IF(AND(AW$6&gt;=$BD42,AW$6&lt;=$BE42),"実","外"),IF(AND(AW$6&gt;=$BD42,AW$6&lt;=$BE42),"計",IF(AND(AW$6&gt;=$BH42,AW$6&lt;=$BI42),"遅","")))))</f>
        <v/>
      </c>
      <c r="AX42" s="93" t="str">
        <f>IF($BB42="","",IF(AX$6=$BJ42,"◆",IF(AND(AX$6&gt;=$BF42,AX$6&lt;=$BG42),IF(AND(AX$6&gt;=$BD42,AX$6&lt;=$BE42),"実","外"),IF(AND(AX$6&gt;=$BD42,AX$6&lt;=$BE42),"計",IF(AND(AX$6&gt;=$BH42,AX$6&lt;=$BI42),"遅","")))))</f>
        <v/>
      </c>
      <c r="AY42" s="93" t="str">
        <f>IF($BB42="","",IF(AY$6=$BJ42,"◆",IF(AND(AY$6&gt;=$BF42,AY$6&lt;=$BG42),IF(AND(AY$6&gt;=$BD42,AY$6&lt;=$BE42),"実","外"),IF(AND(AY$6&gt;=$BD42,AY$6&lt;=$BE42),"計",IF(AND(AY$6&gt;=$BH42,AY$6&lt;=$BI42),"遅","")))))</f>
        <v/>
      </c>
      <c r="AZ42" s="93" t="str">
        <f>IF($BB42="","",IF(AZ$6=$BJ42,"◆",IF(AND(AZ$6&gt;=$BF42,AZ$6&lt;=$BG42),IF(AND(AZ$6&gt;=$BD42,AZ$6&lt;=$BE42),"実","外"),IF(AND(AZ$6&gt;=$BD42,AZ$6&lt;=$BE42),"計",IF(AND(AZ$6&gt;=$BH42,AZ$6&lt;=$BI42),"遅","")))))</f>
        <v/>
      </c>
      <c r="BB42" t="str">
        <f>IF(35&gt;COUNTIF(tblSteps[日別対象],1),"",IFERROR(MATCH(35,tblSteps[日別順位],0),""))</f>
        <v/>
      </c>
      <c r="BC42" t="str">
        <f>IF($BB42="","",INDEX(tblSteps[案件ID],$BB42)&amp;"")</f>
        <v/>
      </c>
      <c r="BD42" t="str">
        <f>IF($BB42="","",INDEX(tblSteps[計開],$BB42))</f>
        <v/>
      </c>
      <c r="BE42" t="str">
        <f>IF($BB42="","",INDEX(tblSteps[計終],$BB42))</f>
        <v/>
      </c>
      <c r="BF42" t="str">
        <f>IF($BB42="","",INDEX(tblSteps[実開],$BB42))</f>
        <v/>
      </c>
      <c r="BG42" t="str">
        <f>IF($BB42="","",INDEX(tblSteps[実終],$BB42))</f>
        <v/>
      </c>
      <c r="BH42" t="str">
        <f>IF($BB42="","",INDEX(tblSteps[遅開],$BB42))</f>
        <v/>
      </c>
      <c r="BI42" t="str">
        <f>IF($BB42="","",INDEX(tblSteps[遅終],$BB42))</f>
        <v/>
      </c>
      <c r="BJ42" t="str">
        <f>IF($BB42="","",INDEX(tblSteps[納期値],$BB42))</f>
        <v/>
      </c>
    </row>
    <row r="43" ht="18" customHeight="1">
      <c r="A43" s="89" t="str">
        <f>IF($BB43="","",INDEX(tblSteps[工程ID],$BB43)&amp;"")</f>
        <v/>
      </c>
      <c r="B43" s="88" t="str">
        <f>IF($BB43="","",IF($BC43=$BC42,"",$BC43&amp;" "&amp;INDEX(tblSteps[案件名],$BB43)))</f>
        <v/>
      </c>
      <c r="C43" s="88" t="str">
        <f>IF($BB43="","",INDEX(tblSteps[工程名],$BB43)&amp;"")</f>
        <v/>
      </c>
      <c r="D43" s="89" t="str">
        <f>IF($BB43="","",INDEX(tblSteps[担当],$BB43)&amp;"")</f>
        <v/>
      </c>
      <c r="E43" s="89" t="str">
        <f>IF($BB43="","",INDEX(tblSteps[状態],$BB43)&amp;"")</f>
        <v/>
      </c>
      <c r="F43" s="90" t="str">
        <f>IF($BB43="","",IF(ISNUMBER(INDEX(tblSteps[進捗率],$BB43)),INDEX(tblSteps[進捗率],$BB43),""))</f>
        <v/>
      </c>
      <c r="G43" s="91" t="str">
        <f>IF($BB43="","",IF(ISNUMBER(INDEX(tblSteps[計画開始日],$BB43)),INDEX(tblSteps[計画開始日],$BB43),"未入力"))</f>
        <v/>
      </c>
      <c r="H43" s="91" t="str">
        <f>IF($BB43="","",IF(ISNUMBER(INDEX(tblSteps[計画終了日],$BB43)),INDEX(tblSteps[計画終了日],$BB43),"未入力"))</f>
        <v/>
      </c>
      <c r="I43" s="91" t="str">
        <f>IF($BB43="","",IF(ISNUMBER(INDEX(tblSteps[完了見込日],$BB43)),INDEX(tblSteps[完了見込日],$BB43),""))</f>
        <v/>
      </c>
      <c r="J43" s="92" t="str">
        <f>IF($BB43="","",INDEX(tblSteps[注意短],$BB43)&amp;"")</f>
        <v/>
      </c>
      <c r="K43" s="93" t="str">
        <f>IF($BB43="","",IF(K$6=$BJ43,"◆",IF(AND(K$6&gt;=$BF43,K$6&lt;=$BG43),IF(AND(K$6&gt;=$BD43,K$6&lt;=$BE43),"実","外"),IF(AND(K$6&gt;=$BD43,K$6&lt;=$BE43),"計",IF(AND(K$6&gt;=$BH43,K$6&lt;=$BI43),"遅","")))))</f>
        <v/>
      </c>
      <c r="L43" s="93" t="str">
        <f>IF($BB43="","",IF(L$6=$BJ43,"◆",IF(AND(L$6&gt;=$BF43,L$6&lt;=$BG43),IF(AND(L$6&gt;=$BD43,L$6&lt;=$BE43),"実","外"),IF(AND(L$6&gt;=$BD43,L$6&lt;=$BE43),"計",IF(AND(L$6&gt;=$BH43,L$6&lt;=$BI43),"遅","")))))</f>
        <v/>
      </c>
      <c r="M43" s="93" t="str">
        <f>IF($BB43="","",IF(M$6=$BJ43,"◆",IF(AND(M$6&gt;=$BF43,M$6&lt;=$BG43),IF(AND(M$6&gt;=$BD43,M$6&lt;=$BE43),"実","外"),IF(AND(M$6&gt;=$BD43,M$6&lt;=$BE43),"計",IF(AND(M$6&gt;=$BH43,M$6&lt;=$BI43),"遅","")))))</f>
        <v/>
      </c>
      <c r="N43" s="93" t="str">
        <f>IF($BB43="","",IF(N$6=$BJ43,"◆",IF(AND(N$6&gt;=$BF43,N$6&lt;=$BG43),IF(AND(N$6&gt;=$BD43,N$6&lt;=$BE43),"実","外"),IF(AND(N$6&gt;=$BD43,N$6&lt;=$BE43),"計",IF(AND(N$6&gt;=$BH43,N$6&lt;=$BI43),"遅","")))))</f>
        <v/>
      </c>
      <c r="O43" s="93" t="str">
        <f>IF($BB43="","",IF(O$6=$BJ43,"◆",IF(AND(O$6&gt;=$BF43,O$6&lt;=$BG43),IF(AND(O$6&gt;=$BD43,O$6&lt;=$BE43),"実","外"),IF(AND(O$6&gt;=$BD43,O$6&lt;=$BE43),"計",IF(AND(O$6&gt;=$BH43,O$6&lt;=$BI43),"遅","")))))</f>
        <v/>
      </c>
      <c r="P43" s="93" t="str">
        <f>IF($BB43="","",IF(P$6=$BJ43,"◆",IF(AND(P$6&gt;=$BF43,P$6&lt;=$BG43),IF(AND(P$6&gt;=$BD43,P$6&lt;=$BE43),"実","外"),IF(AND(P$6&gt;=$BD43,P$6&lt;=$BE43),"計",IF(AND(P$6&gt;=$BH43,P$6&lt;=$BI43),"遅","")))))</f>
        <v/>
      </c>
      <c r="Q43" s="93" t="str">
        <f>IF($BB43="","",IF(Q$6=$BJ43,"◆",IF(AND(Q$6&gt;=$BF43,Q$6&lt;=$BG43),IF(AND(Q$6&gt;=$BD43,Q$6&lt;=$BE43),"実","外"),IF(AND(Q$6&gt;=$BD43,Q$6&lt;=$BE43),"計",IF(AND(Q$6&gt;=$BH43,Q$6&lt;=$BI43),"遅","")))))</f>
        <v/>
      </c>
      <c r="R43" s="93" t="str">
        <f>IF($BB43="","",IF(R$6=$BJ43,"◆",IF(AND(R$6&gt;=$BF43,R$6&lt;=$BG43),IF(AND(R$6&gt;=$BD43,R$6&lt;=$BE43),"実","外"),IF(AND(R$6&gt;=$BD43,R$6&lt;=$BE43),"計",IF(AND(R$6&gt;=$BH43,R$6&lt;=$BI43),"遅","")))))</f>
        <v/>
      </c>
      <c r="S43" s="93" t="str">
        <f>IF($BB43="","",IF(S$6=$BJ43,"◆",IF(AND(S$6&gt;=$BF43,S$6&lt;=$BG43),IF(AND(S$6&gt;=$BD43,S$6&lt;=$BE43),"実","外"),IF(AND(S$6&gt;=$BD43,S$6&lt;=$BE43),"計",IF(AND(S$6&gt;=$BH43,S$6&lt;=$BI43),"遅","")))))</f>
        <v/>
      </c>
      <c r="T43" s="93" t="str">
        <f>IF($BB43="","",IF(T$6=$BJ43,"◆",IF(AND(T$6&gt;=$BF43,T$6&lt;=$BG43),IF(AND(T$6&gt;=$BD43,T$6&lt;=$BE43),"実","外"),IF(AND(T$6&gt;=$BD43,T$6&lt;=$BE43),"計",IF(AND(T$6&gt;=$BH43,T$6&lt;=$BI43),"遅","")))))</f>
        <v/>
      </c>
      <c r="U43" s="93" t="str">
        <f>IF($BB43="","",IF(U$6=$BJ43,"◆",IF(AND(U$6&gt;=$BF43,U$6&lt;=$BG43),IF(AND(U$6&gt;=$BD43,U$6&lt;=$BE43),"実","外"),IF(AND(U$6&gt;=$BD43,U$6&lt;=$BE43),"計",IF(AND(U$6&gt;=$BH43,U$6&lt;=$BI43),"遅","")))))</f>
        <v/>
      </c>
      <c r="V43" s="93" t="str">
        <f>IF($BB43="","",IF(V$6=$BJ43,"◆",IF(AND(V$6&gt;=$BF43,V$6&lt;=$BG43),IF(AND(V$6&gt;=$BD43,V$6&lt;=$BE43),"実","外"),IF(AND(V$6&gt;=$BD43,V$6&lt;=$BE43),"計",IF(AND(V$6&gt;=$BH43,V$6&lt;=$BI43),"遅","")))))</f>
        <v/>
      </c>
      <c r="W43" s="93" t="str">
        <f>IF($BB43="","",IF(W$6=$BJ43,"◆",IF(AND(W$6&gt;=$BF43,W$6&lt;=$BG43),IF(AND(W$6&gt;=$BD43,W$6&lt;=$BE43),"実","外"),IF(AND(W$6&gt;=$BD43,W$6&lt;=$BE43),"計",IF(AND(W$6&gt;=$BH43,W$6&lt;=$BI43),"遅","")))))</f>
        <v/>
      </c>
      <c r="X43" s="93" t="str">
        <f>IF($BB43="","",IF(X$6=$BJ43,"◆",IF(AND(X$6&gt;=$BF43,X$6&lt;=$BG43),IF(AND(X$6&gt;=$BD43,X$6&lt;=$BE43),"実","外"),IF(AND(X$6&gt;=$BD43,X$6&lt;=$BE43),"計",IF(AND(X$6&gt;=$BH43,X$6&lt;=$BI43),"遅","")))))</f>
        <v/>
      </c>
      <c r="Y43" s="93" t="str">
        <f>IF($BB43="","",IF(Y$6=$BJ43,"◆",IF(AND(Y$6&gt;=$BF43,Y$6&lt;=$BG43),IF(AND(Y$6&gt;=$BD43,Y$6&lt;=$BE43),"実","外"),IF(AND(Y$6&gt;=$BD43,Y$6&lt;=$BE43),"計",IF(AND(Y$6&gt;=$BH43,Y$6&lt;=$BI43),"遅","")))))</f>
        <v/>
      </c>
      <c r="Z43" s="93" t="str">
        <f>IF($BB43="","",IF(Z$6=$BJ43,"◆",IF(AND(Z$6&gt;=$BF43,Z$6&lt;=$BG43),IF(AND(Z$6&gt;=$BD43,Z$6&lt;=$BE43),"実","外"),IF(AND(Z$6&gt;=$BD43,Z$6&lt;=$BE43),"計",IF(AND(Z$6&gt;=$BH43,Z$6&lt;=$BI43),"遅","")))))</f>
        <v/>
      </c>
      <c r="AA43" s="93" t="str">
        <f>IF($BB43="","",IF(AA$6=$BJ43,"◆",IF(AND(AA$6&gt;=$BF43,AA$6&lt;=$BG43),IF(AND(AA$6&gt;=$BD43,AA$6&lt;=$BE43),"実","外"),IF(AND(AA$6&gt;=$BD43,AA$6&lt;=$BE43),"計",IF(AND(AA$6&gt;=$BH43,AA$6&lt;=$BI43),"遅","")))))</f>
        <v/>
      </c>
      <c r="AB43" s="93" t="str">
        <f>IF($BB43="","",IF(AB$6=$BJ43,"◆",IF(AND(AB$6&gt;=$BF43,AB$6&lt;=$BG43),IF(AND(AB$6&gt;=$BD43,AB$6&lt;=$BE43),"実","外"),IF(AND(AB$6&gt;=$BD43,AB$6&lt;=$BE43),"計",IF(AND(AB$6&gt;=$BH43,AB$6&lt;=$BI43),"遅","")))))</f>
        <v/>
      </c>
      <c r="AC43" s="93" t="str">
        <f>IF($BB43="","",IF(AC$6=$BJ43,"◆",IF(AND(AC$6&gt;=$BF43,AC$6&lt;=$BG43),IF(AND(AC$6&gt;=$BD43,AC$6&lt;=$BE43),"実","外"),IF(AND(AC$6&gt;=$BD43,AC$6&lt;=$BE43),"計",IF(AND(AC$6&gt;=$BH43,AC$6&lt;=$BI43),"遅","")))))</f>
        <v/>
      </c>
      <c r="AD43" s="93" t="str">
        <f>IF($BB43="","",IF(AD$6=$BJ43,"◆",IF(AND(AD$6&gt;=$BF43,AD$6&lt;=$BG43),IF(AND(AD$6&gt;=$BD43,AD$6&lt;=$BE43),"実","外"),IF(AND(AD$6&gt;=$BD43,AD$6&lt;=$BE43),"計",IF(AND(AD$6&gt;=$BH43,AD$6&lt;=$BI43),"遅","")))))</f>
        <v/>
      </c>
      <c r="AE43" s="93" t="str">
        <f>IF($BB43="","",IF(AE$6=$BJ43,"◆",IF(AND(AE$6&gt;=$BF43,AE$6&lt;=$BG43),IF(AND(AE$6&gt;=$BD43,AE$6&lt;=$BE43),"実","外"),IF(AND(AE$6&gt;=$BD43,AE$6&lt;=$BE43),"計",IF(AND(AE$6&gt;=$BH43,AE$6&lt;=$BI43),"遅","")))))</f>
        <v/>
      </c>
      <c r="AF43" s="93" t="str">
        <f>IF($BB43="","",IF(AF$6=$BJ43,"◆",IF(AND(AF$6&gt;=$BF43,AF$6&lt;=$BG43),IF(AND(AF$6&gt;=$BD43,AF$6&lt;=$BE43),"実","外"),IF(AND(AF$6&gt;=$BD43,AF$6&lt;=$BE43),"計",IF(AND(AF$6&gt;=$BH43,AF$6&lt;=$BI43),"遅","")))))</f>
        <v/>
      </c>
      <c r="AG43" s="93" t="str">
        <f>IF($BB43="","",IF(AG$6=$BJ43,"◆",IF(AND(AG$6&gt;=$BF43,AG$6&lt;=$BG43),IF(AND(AG$6&gt;=$BD43,AG$6&lt;=$BE43),"実","外"),IF(AND(AG$6&gt;=$BD43,AG$6&lt;=$BE43),"計",IF(AND(AG$6&gt;=$BH43,AG$6&lt;=$BI43),"遅","")))))</f>
        <v/>
      </c>
      <c r="AH43" s="93" t="str">
        <f>IF($BB43="","",IF(AH$6=$BJ43,"◆",IF(AND(AH$6&gt;=$BF43,AH$6&lt;=$BG43),IF(AND(AH$6&gt;=$BD43,AH$6&lt;=$BE43),"実","外"),IF(AND(AH$6&gt;=$BD43,AH$6&lt;=$BE43),"計",IF(AND(AH$6&gt;=$BH43,AH$6&lt;=$BI43),"遅","")))))</f>
        <v/>
      </c>
      <c r="AI43" s="93" t="str">
        <f>IF($BB43="","",IF(AI$6=$BJ43,"◆",IF(AND(AI$6&gt;=$BF43,AI$6&lt;=$BG43),IF(AND(AI$6&gt;=$BD43,AI$6&lt;=$BE43),"実","外"),IF(AND(AI$6&gt;=$BD43,AI$6&lt;=$BE43),"計",IF(AND(AI$6&gt;=$BH43,AI$6&lt;=$BI43),"遅","")))))</f>
        <v/>
      </c>
      <c r="AJ43" s="93" t="str">
        <f>IF($BB43="","",IF(AJ$6=$BJ43,"◆",IF(AND(AJ$6&gt;=$BF43,AJ$6&lt;=$BG43),IF(AND(AJ$6&gt;=$BD43,AJ$6&lt;=$BE43),"実","外"),IF(AND(AJ$6&gt;=$BD43,AJ$6&lt;=$BE43),"計",IF(AND(AJ$6&gt;=$BH43,AJ$6&lt;=$BI43),"遅","")))))</f>
        <v/>
      </c>
      <c r="AK43" s="93" t="str">
        <f>IF($BB43="","",IF(AK$6=$BJ43,"◆",IF(AND(AK$6&gt;=$BF43,AK$6&lt;=$BG43),IF(AND(AK$6&gt;=$BD43,AK$6&lt;=$BE43),"実","外"),IF(AND(AK$6&gt;=$BD43,AK$6&lt;=$BE43),"計",IF(AND(AK$6&gt;=$BH43,AK$6&lt;=$BI43),"遅","")))))</f>
        <v/>
      </c>
      <c r="AL43" s="93" t="str">
        <f>IF($BB43="","",IF(AL$6=$BJ43,"◆",IF(AND(AL$6&gt;=$BF43,AL$6&lt;=$BG43),IF(AND(AL$6&gt;=$BD43,AL$6&lt;=$BE43),"実","外"),IF(AND(AL$6&gt;=$BD43,AL$6&lt;=$BE43),"計",IF(AND(AL$6&gt;=$BH43,AL$6&lt;=$BI43),"遅","")))))</f>
        <v/>
      </c>
      <c r="AM43" s="93" t="str">
        <f>IF($BB43="","",IF(AM$6=$BJ43,"◆",IF(AND(AM$6&gt;=$BF43,AM$6&lt;=$BG43),IF(AND(AM$6&gt;=$BD43,AM$6&lt;=$BE43),"実","外"),IF(AND(AM$6&gt;=$BD43,AM$6&lt;=$BE43),"計",IF(AND(AM$6&gt;=$BH43,AM$6&lt;=$BI43),"遅","")))))</f>
        <v/>
      </c>
      <c r="AN43" s="93" t="str">
        <f>IF($BB43="","",IF(AN$6=$BJ43,"◆",IF(AND(AN$6&gt;=$BF43,AN$6&lt;=$BG43),IF(AND(AN$6&gt;=$BD43,AN$6&lt;=$BE43),"実","外"),IF(AND(AN$6&gt;=$BD43,AN$6&lt;=$BE43),"計",IF(AND(AN$6&gt;=$BH43,AN$6&lt;=$BI43),"遅","")))))</f>
        <v/>
      </c>
      <c r="AO43" s="93" t="str">
        <f>IF($BB43="","",IF(AO$6=$BJ43,"◆",IF(AND(AO$6&gt;=$BF43,AO$6&lt;=$BG43),IF(AND(AO$6&gt;=$BD43,AO$6&lt;=$BE43),"実","外"),IF(AND(AO$6&gt;=$BD43,AO$6&lt;=$BE43),"計",IF(AND(AO$6&gt;=$BH43,AO$6&lt;=$BI43),"遅","")))))</f>
        <v/>
      </c>
      <c r="AP43" s="93" t="str">
        <f>IF($BB43="","",IF(AP$6=$BJ43,"◆",IF(AND(AP$6&gt;=$BF43,AP$6&lt;=$BG43),IF(AND(AP$6&gt;=$BD43,AP$6&lt;=$BE43),"実","外"),IF(AND(AP$6&gt;=$BD43,AP$6&lt;=$BE43),"計",IF(AND(AP$6&gt;=$BH43,AP$6&lt;=$BI43),"遅","")))))</f>
        <v/>
      </c>
      <c r="AQ43" s="93" t="str">
        <f>IF($BB43="","",IF(AQ$6=$BJ43,"◆",IF(AND(AQ$6&gt;=$BF43,AQ$6&lt;=$BG43),IF(AND(AQ$6&gt;=$BD43,AQ$6&lt;=$BE43),"実","外"),IF(AND(AQ$6&gt;=$BD43,AQ$6&lt;=$BE43),"計",IF(AND(AQ$6&gt;=$BH43,AQ$6&lt;=$BI43),"遅","")))))</f>
        <v/>
      </c>
      <c r="AR43" s="93" t="str">
        <f>IF($BB43="","",IF(AR$6=$BJ43,"◆",IF(AND(AR$6&gt;=$BF43,AR$6&lt;=$BG43),IF(AND(AR$6&gt;=$BD43,AR$6&lt;=$BE43),"実","外"),IF(AND(AR$6&gt;=$BD43,AR$6&lt;=$BE43),"計",IF(AND(AR$6&gt;=$BH43,AR$6&lt;=$BI43),"遅","")))))</f>
        <v/>
      </c>
      <c r="AS43" s="93" t="str">
        <f>IF($BB43="","",IF(AS$6=$BJ43,"◆",IF(AND(AS$6&gt;=$BF43,AS$6&lt;=$BG43),IF(AND(AS$6&gt;=$BD43,AS$6&lt;=$BE43),"実","外"),IF(AND(AS$6&gt;=$BD43,AS$6&lt;=$BE43),"計",IF(AND(AS$6&gt;=$BH43,AS$6&lt;=$BI43),"遅","")))))</f>
        <v/>
      </c>
      <c r="AT43" s="93" t="str">
        <f>IF($BB43="","",IF(AT$6=$BJ43,"◆",IF(AND(AT$6&gt;=$BF43,AT$6&lt;=$BG43),IF(AND(AT$6&gt;=$BD43,AT$6&lt;=$BE43),"実","外"),IF(AND(AT$6&gt;=$BD43,AT$6&lt;=$BE43),"計",IF(AND(AT$6&gt;=$BH43,AT$6&lt;=$BI43),"遅","")))))</f>
        <v/>
      </c>
      <c r="AU43" s="93" t="str">
        <f>IF($BB43="","",IF(AU$6=$BJ43,"◆",IF(AND(AU$6&gt;=$BF43,AU$6&lt;=$BG43),IF(AND(AU$6&gt;=$BD43,AU$6&lt;=$BE43),"実","外"),IF(AND(AU$6&gt;=$BD43,AU$6&lt;=$BE43),"計",IF(AND(AU$6&gt;=$BH43,AU$6&lt;=$BI43),"遅","")))))</f>
        <v/>
      </c>
      <c r="AV43" s="93" t="str">
        <f>IF($BB43="","",IF(AV$6=$BJ43,"◆",IF(AND(AV$6&gt;=$BF43,AV$6&lt;=$BG43),IF(AND(AV$6&gt;=$BD43,AV$6&lt;=$BE43),"実","外"),IF(AND(AV$6&gt;=$BD43,AV$6&lt;=$BE43),"計",IF(AND(AV$6&gt;=$BH43,AV$6&lt;=$BI43),"遅","")))))</f>
        <v/>
      </c>
      <c r="AW43" s="93" t="str">
        <f>IF($BB43="","",IF(AW$6=$BJ43,"◆",IF(AND(AW$6&gt;=$BF43,AW$6&lt;=$BG43),IF(AND(AW$6&gt;=$BD43,AW$6&lt;=$BE43),"実","外"),IF(AND(AW$6&gt;=$BD43,AW$6&lt;=$BE43),"計",IF(AND(AW$6&gt;=$BH43,AW$6&lt;=$BI43),"遅","")))))</f>
        <v/>
      </c>
      <c r="AX43" s="93" t="str">
        <f>IF($BB43="","",IF(AX$6=$BJ43,"◆",IF(AND(AX$6&gt;=$BF43,AX$6&lt;=$BG43),IF(AND(AX$6&gt;=$BD43,AX$6&lt;=$BE43),"実","外"),IF(AND(AX$6&gt;=$BD43,AX$6&lt;=$BE43),"計",IF(AND(AX$6&gt;=$BH43,AX$6&lt;=$BI43),"遅","")))))</f>
        <v/>
      </c>
      <c r="AY43" s="93" t="str">
        <f>IF($BB43="","",IF(AY$6=$BJ43,"◆",IF(AND(AY$6&gt;=$BF43,AY$6&lt;=$BG43),IF(AND(AY$6&gt;=$BD43,AY$6&lt;=$BE43),"実","外"),IF(AND(AY$6&gt;=$BD43,AY$6&lt;=$BE43),"計",IF(AND(AY$6&gt;=$BH43,AY$6&lt;=$BI43),"遅","")))))</f>
        <v/>
      </c>
      <c r="AZ43" s="93" t="str">
        <f>IF($BB43="","",IF(AZ$6=$BJ43,"◆",IF(AND(AZ$6&gt;=$BF43,AZ$6&lt;=$BG43),IF(AND(AZ$6&gt;=$BD43,AZ$6&lt;=$BE43),"実","外"),IF(AND(AZ$6&gt;=$BD43,AZ$6&lt;=$BE43),"計",IF(AND(AZ$6&gt;=$BH43,AZ$6&lt;=$BI43),"遅","")))))</f>
        <v/>
      </c>
      <c r="BB43" t="str">
        <f>IF(36&gt;COUNTIF(tblSteps[日別対象],1),"",IFERROR(MATCH(36,tblSteps[日別順位],0),""))</f>
        <v/>
      </c>
      <c r="BC43" t="str">
        <f>IF($BB43="","",INDEX(tblSteps[案件ID],$BB43)&amp;"")</f>
        <v/>
      </c>
      <c r="BD43" t="str">
        <f>IF($BB43="","",INDEX(tblSteps[計開],$BB43))</f>
        <v/>
      </c>
      <c r="BE43" t="str">
        <f>IF($BB43="","",INDEX(tblSteps[計終],$BB43))</f>
        <v/>
      </c>
      <c r="BF43" t="str">
        <f>IF($BB43="","",INDEX(tblSteps[実開],$BB43))</f>
        <v/>
      </c>
      <c r="BG43" t="str">
        <f>IF($BB43="","",INDEX(tblSteps[実終],$BB43))</f>
        <v/>
      </c>
      <c r="BH43" t="str">
        <f>IF($BB43="","",INDEX(tblSteps[遅開],$BB43))</f>
        <v/>
      </c>
      <c r="BI43" t="str">
        <f>IF($BB43="","",INDEX(tblSteps[遅終],$BB43))</f>
        <v/>
      </c>
      <c r="BJ43" t="str">
        <f>IF($BB43="","",INDEX(tblSteps[納期値],$BB43))</f>
        <v/>
      </c>
    </row>
    <row r="44" ht="18" customHeight="1">
      <c r="A44" s="89" t="str">
        <f>IF($BB44="","",INDEX(tblSteps[工程ID],$BB44)&amp;"")</f>
        <v/>
      </c>
      <c r="B44" s="88" t="str">
        <f>IF($BB44="","",IF($BC44=$BC43,"",$BC44&amp;" "&amp;INDEX(tblSteps[案件名],$BB44)))</f>
        <v/>
      </c>
      <c r="C44" s="88" t="str">
        <f>IF($BB44="","",INDEX(tblSteps[工程名],$BB44)&amp;"")</f>
        <v/>
      </c>
      <c r="D44" s="89" t="str">
        <f>IF($BB44="","",INDEX(tblSteps[担当],$BB44)&amp;"")</f>
        <v/>
      </c>
      <c r="E44" s="89" t="str">
        <f>IF($BB44="","",INDEX(tblSteps[状態],$BB44)&amp;"")</f>
        <v/>
      </c>
      <c r="F44" s="90" t="str">
        <f>IF($BB44="","",IF(ISNUMBER(INDEX(tblSteps[進捗率],$BB44)),INDEX(tblSteps[進捗率],$BB44),""))</f>
        <v/>
      </c>
      <c r="G44" s="91" t="str">
        <f>IF($BB44="","",IF(ISNUMBER(INDEX(tblSteps[計画開始日],$BB44)),INDEX(tblSteps[計画開始日],$BB44),"未入力"))</f>
        <v/>
      </c>
      <c r="H44" s="91" t="str">
        <f>IF($BB44="","",IF(ISNUMBER(INDEX(tblSteps[計画終了日],$BB44)),INDEX(tblSteps[計画終了日],$BB44),"未入力"))</f>
        <v/>
      </c>
      <c r="I44" s="91" t="str">
        <f>IF($BB44="","",IF(ISNUMBER(INDEX(tblSteps[完了見込日],$BB44)),INDEX(tblSteps[完了見込日],$BB44),""))</f>
        <v/>
      </c>
      <c r="J44" s="92" t="str">
        <f>IF($BB44="","",INDEX(tblSteps[注意短],$BB44)&amp;"")</f>
        <v/>
      </c>
      <c r="K44" s="93" t="str">
        <f>IF($BB44="","",IF(K$6=$BJ44,"◆",IF(AND(K$6&gt;=$BF44,K$6&lt;=$BG44),IF(AND(K$6&gt;=$BD44,K$6&lt;=$BE44),"実","外"),IF(AND(K$6&gt;=$BD44,K$6&lt;=$BE44),"計",IF(AND(K$6&gt;=$BH44,K$6&lt;=$BI44),"遅","")))))</f>
        <v/>
      </c>
      <c r="L44" s="93" t="str">
        <f>IF($BB44="","",IF(L$6=$BJ44,"◆",IF(AND(L$6&gt;=$BF44,L$6&lt;=$BG44),IF(AND(L$6&gt;=$BD44,L$6&lt;=$BE44),"実","外"),IF(AND(L$6&gt;=$BD44,L$6&lt;=$BE44),"計",IF(AND(L$6&gt;=$BH44,L$6&lt;=$BI44),"遅","")))))</f>
        <v/>
      </c>
      <c r="M44" s="93" t="str">
        <f>IF($BB44="","",IF(M$6=$BJ44,"◆",IF(AND(M$6&gt;=$BF44,M$6&lt;=$BG44),IF(AND(M$6&gt;=$BD44,M$6&lt;=$BE44),"実","外"),IF(AND(M$6&gt;=$BD44,M$6&lt;=$BE44),"計",IF(AND(M$6&gt;=$BH44,M$6&lt;=$BI44),"遅","")))))</f>
        <v/>
      </c>
      <c r="N44" s="93" t="str">
        <f>IF($BB44="","",IF(N$6=$BJ44,"◆",IF(AND(N$6&gt;=$BF44,N$6&lt;=$BG44),IF(AND(N$6&gt;=$BD44,N$6&lt;=$BE44),"実","外"),IF(AND(N$6&gt;=$BD44,N$6&lt;=$BE44),"計",IF(AND(N$6&gt;=$BH44,N$6&lt;=$BI44),"遅","")))))</f>
        <v/>
      </c>
      <c r="O44" s="93" t="str">
        <f>IF($BB44="","",IF(O$6=$BJ44,"◆",IF(AND(O$6&gt;=$BF44,O$6&lt;=$BG44),IF(AND(O$6&gt;=$BD44,O$6&lt;=$BE44),"実","外"),IF(AND(O$6&gt;=$BD44,O$6&lt;=$BE44),"計",IF(AND(O$6&gt;=$BH44,O$6&lt;=$BI44),"遅","")))))</f>
        <v/>
      </c>
      <c r="P44" s="93" t="str">
        <f>IF($BB44="","",IF(P$6=$BJ44,"◆",IF(AND(P$6&gt;=$BF44,P$6&lt;=$BG44),IF(AND(P$6&gt;=$BD44,P$6&lt;=$BE44),"実","外"),IF(AND(P$6&gt;=$BD44,P$6&lt;=$BE44),"計",IF(AND(P$6&gt;=$BH44,P$6&lt;=$BI44),"遅","")))))</f>
        <v/>
      </c>
      <c r="Q44" s="93" t="str">
        <f>IF($BB44="","",IF(Q$6=$BJ44,"◆",IF(AND(Q$6&gt;=$BF44,Q$6&lt;=$BG44),IF(AND(Q$6&gt;=$BD44,Q$6&lt;=$BE44),"実","外"),IF(AND(Q$6&gt;=$BD44,Q$6&lt;=$BE44),"計",IF(AND(Q$6&gt;=$BH44,Q$6&lt;=$BI44),"遅","")))))</f>
        <v/>
      </c>
      <c r="R44" s="93" t="str">
        <f>IF($BB44="","",IF(R$6=$BJ44,"◆",IF(AND(R$6&gt;=$BF44,R$6&lt;=$BG44),IF(AND(R$6&gt;=$BD44,R$6&lt;=$BE44),"実","外"),IF(AND(R$6&gt;=$BD44,R$6&lt;=$BE44),"計",IF(AND(R$6&gt;=$BH44,R$6&lt;=$BI44),"遅","")))))</f>
        <v/>
      </c>
      <c r="S44" s="93" t="str">
        <f>IF($BB44="","",IF(S$6=$BJ44,"◆",IF(AND(S$6&gt;=$BF44,S$6&lt;=$BG44),IF(AND(S$6&gt;=$BD44,S$6&lt;=$BE44),"実","外"),IF(AND(S$6&gt;=$BD44,S$6&lt;=$BE44),"計",IF(AND(S$6&gt;=$BH44,S$6&lt;=$BI44),"遅","")))))</f>
        <v/>
      </c>
      <c r="T44" s="93" t="str">
        <f>IF($BB44="","",IF(T$6=$BJ44,"◆",IF(AND(T$6&gt;=$BF44,T$6&lt;=$BG44),IF(AND(T$6&gt;=$BD44,T$6&lt;=$BE44),"実","外"),IF(AND(T$6&gt;=$BD44,T$6&lt;=$BE44),"計",IF(AND(T$6&gt;=$BH44,T$6&lt;=$BI44),"遅","")))))</f>
        <v/>
      </c>
      <c r="U44" s="93" t="str">
        <f>IF($BB44="","",IF(U$6=$BJ44,"◆",IF(AND(U$6&gt;=$BF44,U$6&lt;=$BG44),IF(AND(U$6&gt;=$BD44,U$6&lt;=$BE44),"実","外"),IF(AND(U$6&gt;=$BD44,U$6&lt;=$BE44),"計",IF(AND(U$6&gt;=$BH44,U$6&lt;=$BI44),"遅","")))))</f>
        <v/>
      </c>
      <c r="V44" s="93" t="str">
        <f>IF($BB44="","",IF(V$6=$BJ44,"◆",IF(AND(V$6&gt;=$BF44,V$6&lt;=$BG44),IF(AND(V$6&gt;=$BD44,V$6&lt;=$BE44),"実","外"),IF(AND(V$6&gt;=$BD44,V$6&lt;=$BE44),"計",IF(AND(V$6&gt;=$BH44,V$6&lt;=$BI44),"遅","")))))</f>
        <v/>
      </c>
      <c r="W44" s="93" t="str">
        <f>IF($BB44="","",IF(W$6=$BJ44,"◆",IF(AND(W$6&gt;=$BF44,W$6&lt;=$BG44),IF(AND(W$6&gt;=$BD44,W$6&lt;=$BE44),"実","外"),IF(AND(W$6&gt;=$BD44,W$6&lt;=$BE44),"計",IF(AND(W$6&gt;=$BH44,W$6&lt;=$BI44),"遅","")))))</f>
        <v/>
      </c>
      <c r="X44" s="93" t="str">
        <f>IF($BB44="","",IF(X$6=$BJ44,"◆",IF(AND(X$6&gt;=$BF44,X$6&lt;=$BG44),IF(AND(X$6&gt;=$BD44,X$6&lt;=$BE44),"実","外"),IF(AND(X$6&gt;=$BD44,X$6&lt;=$BE44),"計",IF(AND(X$6&gt;=$BH44,X$6&lt;=$BI44),"遅","")))))</f>
        <v/>
      </c>
      <c r="Y44" s="93" t="str">
        <f>IF($BB44="","",IF(Y$6=$BJ44,"◆",IF(AND(Y$6&gt;=$BF44,Y$6&lt;=$BG44),IF(AND(Y$6&gt;=$BD44,Y$6&lt;=$BE44),"実","外"),IF(AND(Y$6&gt;=$BD44,Y$6&lt;=$BE44),"計",IF(AND(Y$6&gt;=$BH44,Y$6&lt;=$BI44),"遅","")))))</f>
        <v/>
      </c>
      <c r="Z44" s="93" t="str">
        <f>IF($BB44="","",IF(Z$6=$BJ44,"◆",IF(AND(Z$6&gt;=$BF44,Z$6&lt;=$BG44),IF(AND(Z$6&gt;=$BD44,Z$6&lt;=$BE44),"実","外"),IF(AND(Z$6&gt;=$BD44,Z$6&lt;=$BE44),"計",IF(AND(Z$6&gt;=$BH44,Z$6&lt;=$BI44),"遅","")))))</f>
        <v/>
      </c>
      <c r="AA44" s="93" t="str">
        <f>IF($BB44="","",IF(AA$6=$BJ44,"◆",IF(AND(AA$6&gt;=$BF44,AA$6&lt;=$BG44),IF(AND(AA$6&gt;=$BD44,AA$6&lt;=$BE44),"実","外"),IF(AND(AA$6&gt;=$BD44,AA$6&lt;=$BE44),"計",IF(AND(AA$6&gt;=$BH44,AA$6&lt;=$BI44),"遅","")))))</f>
        <v/>
      </c>
      <c r="AB44" s="93" t="str">
        <f>IF($BB44="","",IF(AB$6=$BJ44,"◆",IF(AND(AB$6&gt;=$BF44,AB$6&lt;=$BG44),IF(AND(AB$6&gt;=$BD44,AB$6&lt;=$BE44),"実","外"),IF(AND(AB$6&gt;=$BD44,AB$6&lt;=$BE44),"計",IF(AND(AB$6&gt;=$BH44,AB$6&lt;=$BI44),"遅","")))))</f>
        <v/>
      </c>
      <c r="AC44" s="93" t="str">
        <f>IF($BB44="","",IF(AC$6=$BJ44,"◆",IF(AND(AC$6&gt;=$BF44,AC$6&lt;=$BG44),IF(AND(AC$6&gt;=$BD44,AC$6&lt;=$BE44),"実","外"),IF(AND(AC$6&gt;=$BD44,AC$6&lt;=$BE44),"計",IF(AND(AC$6&gt;=$BH44,AC$6&lt;=$BI44),"遅","")))))</f>
        <v/>
      </c>
      <c r="AD44" s="93" t="str">
        <f>IF($BB44="","",IF(AD$6=$BJ44,"◆",IF(AND(AD$6&gt;=$BF44,AD$6&lt;=$BG44),IF(AND(AD$6&gt;=$BD44,AD$6&lt;=$BE44),"実","外"),IF(AND(AD$6&gt;=$BD44,AD$6&lt;=$BE44),"計",IF(AND(AD$6&gt;=$BH44,AD$6&lt;=$BI44),"遅","")))))</f>
        <v/>
      </c>
      <c r="AE44" s="93" t="str">
        <f>IF($BB44="","",IF(AE$6=$BJ44,"◆",IF(AND(AE$6&gt;=$BF44,AE$6&lt;=$BG44),IF(AND(AE$6&gt;=$BD44,AE$6&lt;=$BE44),"実","外"),IF(AND(AE$6&gt;=$BD44,AE$6&lt;=$BE44),"計",IF(AND(AE$6&gt;=$BH44,AE$6&lt;=$BI44),"遅","")))))</f>
        <v/>
      </c>
      <c r="AF44" s="93" t="str">
        <f>IF($BB44="","",IF(AF$6=$BJ44,"◆",IF(AND(AF$6&gt;=$BF44,AF$6&lt;=$BG44),IF(AND(AF$6&gt;=$BD44,AF$6&lt;=$BE44),"実","外"),IF(AND(AF$6&gt;=$BD44,AF$6&lt;=$BE44),"計",IF(AND(AF$6&gt;=$BH44,AF$6&lt;=$BI44),"遅","")))))</f>
        <v/>
      </c>
      <c r="AG44" s="93" t="str">
        <f>IF($BB44="","",IF(AG$6=$BJ44,"◆",IF(AND(AG$6&gt;=$BF44,AG$6&lt;=$BG44),IF(AND(AG$6&gt;=$BD44,AG$6&lt;=$BE44),"実","外"),IF(AND(AG$6&gt;=$BD44,AG$6&lt;=$BE44),"計",IF(AND(AG$6&gt;=$BH44,AG$6&lt;=$BI44),"遅","")))))</f>
        <v/>
      </c>
      <c r="AH44" s="93" t="str">
        <f>IF($BB44="","",IF(AH$6=$BJ44,"◆",IF(AND(AH$6&gt;=$BF44,AH$6&lt;=$BG44),IF(AND(AH$6&gt;=$BD44,AH$6&lt;=$BE44),"実","外"),IF(AND(AH$6&gt;=$BD44,AH$6&lt;=$BE44),"計",IF(AND(AH$6&gt;=$BH44,AH$6&lt;=$BI44),"遅","")))))</f>
        <v/>
      </c>
      <c r="AI44" s="93" t="str">
        <f>IF($BB44="","",IF(AI$6=$BJ44,"◆",IF(AND(AI$6&gt;=$BF44,AI$6&lt;=$BG44),IF(AND(AI$6&gt;=$BD44,AI$6&lt;=$BE44),"実","外"),IF(AND(AI$6&gt;=$BD44,AI$6&lt;=$BE44),"計",IF(AND(AI$6&gt;=$BH44,AI$6&lt;=$BI44),"遅","")))))</f>
        <v/>
      </c>
      <c r="AJ44" s="93" t="str">
        <f>IF($BB44="","",IF(AJ$6=$BJ44,"◆",IF(AND(AJ$6&gt;=$BF44,AJ$6&lt;=$BG44),IF(AND(AJ$6&gt;=$BD44,AJ$6&lt;=$BE44),"実","外"),IF(AND(AJ$6&gt;=$BD44,AJ$6&lt;=$BE44),"計",IF(AND(AJ$6&gt;=$BH44,AJ$6&lt;=$BI44),"遅","")))))</f>
        <v/>
      </c>
      <c r="AK44" s="93" t="str">
        <f>IF($BB44="","",IF(AK$6=$BJ44,"◆",IF(AND(AK$6&gt;=$BF44,AK$6&lt;=$BG44),IF(AND(AK$6&gt;=$BD44,AK$6&lt;=$BE44),"実","外"),IF(AND(AK$6&gt;=$BD44,AK$6&lt;=$BE44),"計",IF(AND(AK$6&gt;=$BH44,AK$6&lt;=$BI44),"遅","")))))</f>
        <v/>
      </c>
      <c r="AL44" s="93" t="str">
        <f>IF($BB44="","",IF(AL$6=$BJ44,"◆",IF(AND(AL$6&gt;=$BF44,AL$6&lt;=$BG44),IF(AND(AL$6&gt;=$BD44,AL$6&lt;=$BE44),"実","外"),IF(AND(AL$6&gt;=$BD44,AL$6&lt;=$BE44),"計",IF(AND(AL$6&gt;=$BH44,AL$6&lt;=$BI44),"遅","")))))</f>
        <v/>
      </c>
      <c r="AM44" s="93" t="str">
        <f>IF($BB44="","",IF(AM$6=$BJ44,"◆",IF(AND(AM$6&gt;=$BF44,AM$6&lt;=$BG44),IF(AND(AM$6&gt;=$BD44,AM$6&lt;=$BE44),"実","外"),IF(AND(AM$6&gt;=$BD44,AM$6&lt;=$BE44),"計",IF(AND(AM$6&gt;=$BH44,AM$6&lt;=$BI44),"遅","")))))</f>
        <v/>
      </c>
      <c r="AN44" s="93" t="str">
        <f>IF($BB44="","",IF(AN$6=$BJ44,"◆",IF(AND(AN$6&gt;=$BF44,AN$6&lt;=$BG44),IF(AND(AN$6&gt;=$BD44,AN$6&lt;=$BE44),"実","外"),IF(AND(AN$6&gt;=$BD44,AN$6&lt;=$BE44),"計",IF(AND(AN$6&gt;=$BH44,AN$6&lt;=$BI44),"遅","")))))</f>
        <v/>
      </c>
      <c r="AO44" s="93" t="str">
        <f>IF($BB44="","",IF(AO$6=$BJ44,"◆",IF(AND(AO$6&gt;=$BF44,AO$6&lt;=$BG44),IF(AND(AO$6&gt;=$BD44,AO$6&lt;=$BE44),"実","外"),IF(AND(AO$6&gt;=$BD44,AO$6&lt;=$BE44),"計",IF(AND(AO$6&gt;=$BH44,AO$6&lt;=$BI44),"遅","")))))</f>
        <v/>
      </c>
      <c r="AP44" s="93" t="str">
        <f>IF($BB44="","",IF(AP$6=$BJ44,"◆",IF(AND(AP$6&gt;=$BF44,AP$6&lt;=$BG44),IF(AND(AP$6&gt;=$BD44,AP$6&lt;=$BE44),"実","外"),IF(AND(AP$6&gt;=$BD44,AP$6&lt;=$BE44),"計",IF(AND(AP$6&gt;=$BH44,AP$6&lt;=$BI44),"遅","")))))</f>
        <v/>
      </c>
      <c r="AQ44" s="93" t="str">
        <f>IF($BB44="","",IF(AQ$6=$BJ44,"◆",IF(AND(AQ$6&gt;=$BF44,AQ$6&lt;=$BG44),IF(AND(AQ$6&gt;=$BD44,AQ$6&lt;=$BE44),"実","外"),IF(AND(AQ$6&gt;=$BD44,AQ$6&lt;=$BE44),"計",IF(AND(AQ$6&gt;=$BH44,AQ$6&lt;=$BI44),"遅","")))))</f>
        <v/>
      </c>
      <c r="AR44" s="93" t="str">
        <f>IF($BB44="","",IF(AR$6=$BJ44,"◆",IF(AND(AR$6&gt;=$BF44,AR$6&lt;=$BG44),IF(AND(AR$6&gt;=$BD44,AR$6&lt;=$BE44),"実","外"),IF(AND(AR$6&gt;=$BD44,AR$6&lt;=$BE44),"計",IF(AND(AR$6&gt;=$BH44,AR$6&lt;=$BI44),"遅","")))))</f>
        <v/>
      </c>
      <c r="AS44" s="93" t="str">
        <f>IF($BB44="","",IF(AS$6=$BJ44,"◆",IF(AND(AS$6&gt;=$BF44,AS$6&lt;=$BG44),IF(AND(AS$6&gt;=$BD44,AS$6&lt;=$BE44),"実","外"),IF(AND(AS$6&gt;=$BD44,AS$6&lt;=$BE44),"計",IF(AND(AS$6&gt;=$BH44,AS$6&lt;=$BI44),"遅","")))))</f>
        <v/>
      </c>
      <c r="AT44" s="93" t="str">
        <f>IF($BB44="","",IF(AT$6=$BJ44,"◆",IF(AND(AT$6&gt;=$BF44,AT$6&lt;=$BG44),IF(AND(AT$6&gt;=$BD44,AT$6&lt;=$BE44),"実","外"),IF(AND(AT$6&gt;=$BD44,AT$6&lt;=$BE44),"計",IF(AND(AT$6&gt;=$BH44,AT$6&lt;=$BI44),"遅","")))))</f>
        <v/>
      </c>
      <c r="AU44" s="93" t="str">
        <f>IF($BB44="","",IF(AU$6=$BJ44,"◆",IF(AND(AU$6&gt;=$BF44,AU$6&lt;=$BG44),IF(AND(AU$6&gt;=$BD44,AU$6&lt;=$BE44),"実","外"),IF(AND(AU$6&gt;=$BD44,AU$6&lt;=$BE44),"計",IF(AND(AU$6&gt;=$BH44,AU$6&lt;=$BI44),"遅","")))))</f>
        <v/>
      </c>
      <c r="AV44" s="93" t="str">
        <f>IF($BB44="","",IF(AV$6=$BJ44,"◆",IF(AND(AV$6&gt;=$BF44,AV$6&lt;=$BG44),IF(AND(AV$6&gt;=$BD44,AV$6&lt;=$BE44),"実","外"),IF(AND(AV$6&gt;=$BD44,AV$6&lt;=$BE44),"計",IF(AND(AV$6&gt;=$BH44,AV$6&lt;=$BI44),"遅","")))))</f>
        <v/>
      </c>
      <c r="AW44" s="93" t="str">
        <f>IF($BB44="","",IF(AW$6=$BJ44,"◆",IF(AND(AW$6&gt;=$BF44,AW$6&lt;=$BG44),IF(AND(AW$6&gt;=$BD44,AW$6&lt;=$BE44),"実","外"),IF(AND(AW$6&gt;=$BD44,AW$6&lt;=$BE44),"計",IF(AND(AW$6&gt;=$BH44,AW$6&lt;=$BI44),"遅","")))))</f>
        <v/>
      </c>
      <c r="AX44" s="93" t="str">
        <f>IF($BB44="","",IF(AX$6=$BJ44,"◆",IF(AND(AX$6&gt;=$BF44,AX$6&lt;=$BG44),IF(AND(AX$6&gt;=$BD44,AX$6&lt;=$BE44),"実","外"),IF(AND(AX$6&gt;=$BD44,AX$6&lt;=$BE44),"計",IF(AND(AX$6&gt;=$BH44,AX$6&lt;=$BI44),"遅","")))))</f>
        <v/>
      </c>
      <c r="AY44" s="93" t="str">
        <f>IF($BB44="","",IF(AY$6=$BJ44,"◆",IF(AND(AY$6&gt;=$BF44,AY$6&lt;=$BG44),IF(AND(AY$6&gt;=$BD44,AY$6&lt;=$BE44),"実","外"),IF(AND(AY$6&gt;=$BD44,AY$6&lt;=$BE44),"計",IF(AND(AY$6&gt;=$BH44,AY$6&lt;=$BI44),"遅","")))))</f>
        <v/>
      </c>
      <c r="AZ44" s="93" t="str">
        <f>IF($BB44="","",IF(AZ$6=$BJ44,"◆",IF(AND(AZ$6&gt;=$BF44,AZ$6&lt;=$BG44),IF(AND(AZ$6&gt;=$BD44,AZ$6&lt;=$BE44),"実","外"),IF(AND(AZ$6&gt;=$BD44,AZ$6&lt;=$BE44),"計",IF(AND(AZ$6&gt;=$BH44,AZ$6&lt;=$BI44),"遅","")))))</f>
        <v/>
      </c>
      <c r="BB44" t="str">
        <f>IF(37&gt;COUNTIF(tblSteps[日別対象],1),"",IFERROR(MATCH(37,tblSteps[日別順位],0),""))</f>
        <v/>
      </c>
      <c r="BC44" t="str">
        <f>IF($BB44="","",INDEX(tblSteps[案件ID],$BB44)&amp;"")</f>
        <v/>
      </c>
      <c r="BD44" t="str">
        <f>IF($BB44="","",INDEX(tblSteps[計開],$BB44))</f>
        <v/>
      </c>
      <c r="BE44" t="str">
        <f>IF($BB44="","",INDEX(tblSteps[計終],$BB44))</f>
        <v/>
      </c>
      <c r="BF44" t="str">
        <f>IF($BB44="","",INDEX(tblSteps[実開],$BB44))</f>
        <v/>
      </c>
      <c r="BG44" t="str">
        <f>IF($BB44="","",INDEX(tblSteps[実終],$BB44))</f>
        <v/>
      </c>
      <c r="BH44" t="str">
        <f>IF($BB44="","",INDEX(tblSteps[遅開],$BB44))</f>
        <v/>
      </c>
      <c r="BI44" t="str">
        <f>IF($BB44="","",INDEX(tblSteps[遅終],$BB44))</f>
        <v/>
      </c>
      <c r="BJ44" t="str">
        <f>IF($BB44="","",INDEX(tblSteps[納期値],$BB44))</f>
        <v/>
      </c>
    </row>
    <row r="45" ht="18" customHeight="1">
      <c r="A45" s="89" t="str">
        <f>IF($BB45="","",INDEX(tblSteps[工程ID],$BB45)&amp;"")</f>
        <v/>
      </c>
      <c r="B45" s="88" t="str">
        <f>IF($BB45="","",IF($BC45=$BC44,"",$BC45&amp;" "&amp;INDEX(tblSteps[案件名],$BB45)))</f>
        <v/>
      </c>
      <c r="C45" s="88" t="str">
        <f>IF($BB45="","",INDEX(tblSteps[工程名],$BB45)&amp;"")</f>
        <v/>
      </c>
      <c r="D45" s="89" t="str">
        <f>IF($BB45="","",INDEX(tblSteps[担当],$BB45)&amp;"")</f>
        <v/>
      </c>
      <c r="E45" s="89" t="str">
        <f>IF($BB45="","",INDEX(tblSteps[状態],$BB45)&amp;"")</f>
        <v/>
      </c>
      <c r="F45" s="90" t="str">
        <f>IF($BB45="","",IF(ISNUMBER(INDEX(tblSteps[進捗率],$BB45)),INDEX(tblSteps[進捗率],$BB45),""))</f>
        <v/>
      </c>
      <c r="G45" s="91" t="str">
        <f>IF($BB45="","",IF(ISNUMBER(INDEX(tblSteps[計画開始日],$BB45)),INDEX(tblSteps[計画開始日],$BB45),"未入力"))</f>
        <v/>
      </c>
      <c r="H45" s="91" t="str">
        <f>IF($BB45="","",IF(ISNUMBER(INDEX(tblSteps[計画終了日],$BB45)),INDEX(tblSteps[計画終了日],$BB45),"未入力"))</f>
        <v/>
      </c>
      <c r="I45" s="91" t="str">
        <f>IF($BB45="","",IF(ISNUMBER(INDEX(tblSteps[完了見込日],$BB45)),INDEX(tblSteps[完了見込日],$BB45),""))</f>
        <v/>
      </c>
      <c r="J45" s="92" t="str">
        <f>IF($BB45="","",INDEX(tblSteps[注意短],$BB45)&amp;"")</f>
        <v/>
      </c>
      <c r="K45" s="93" t="str">
        <f>IF($BB45="","",IF(K$6=$BJ45,"◆",IF(AND(K$6&gt;=$BF45,K$6&lt;=$BG45),IF(AND(K$6&gt;=$BD45,K$6&lt;=$BE45),"実","外"),IF(AND(K$6&gt;=$BD45,K$6&lt;=$BE45),"計",IF(AND(K$6&gt;=$BH45,K$6&lt;=$BI45),"遅","")))))</f>
        <v/>
      </c>
      <c r="L45" s="93" t="str">
        <f>IF($BB45="","",IF(L$6=$BJ45,"◆",IF(AND(L$6&gt;=$BF45,L$6&lt;=$BG45),IF(AND(L$6&gt;=$BD45,L$6&lt;=$BE45),"実","外"),IF(AND(L$6&gt;=$BD45,L$6&lt;=$BE45),"計",IF(AND(L$6&gt;=$BH45,L$6&lt;=$BI45),"遅","")))))</f>
        <v/>
      </c>
      <c r="M45" s="93" t="str">
        <f>IF($BB45="","",IF(M$6=$BJ45,"◆",IF(AND(M$6&gt;=$BF45,M$6&lt;=$BG45),IF(AND(M$6&gt;=$BD45,M$6&lt;=$BE45),"実","外"),IF(AND(M$6&gt;=$BD45,M$6&lt;=$BE45),"計",IF(AND(M$6&gt;=$BH45,M$6&lt;=$BI45),"遅","")))))</f>
        <v/>
      </c>
      <c r="N45" s="93" t="str">
        <f>IF($BB45="","",IF(N$6=$BJ45,"◆",IF(AND(N$6&gt;=$BF45,N$6&lt;=$BG45),IF(AND(N$6&gt;=$BD45,N$6&lt;=$BE45),"実","外"),IF(AND(N$6&gt;=$BD45,N$6&lt;=$BE45),"計",IF(AND(N$6&gt;=$BH45,N$6&lt;=$BI45),"遅","")))))</f>
        <v/>
      </c>
      <c r="O45" s="93" t="str">
        <f>IF($BB45="","",IF(O$6=$BJ45,"◆",IF(AND(O$6&gt;=$BF45,O$6&lt;=$BG45),IF(AND(O$6&gt;=$BD45,O$6&lt;=$BE45),"実","外"),IF(AND(O$6&gt;=$BD45,O$6&lt;=$BE45),"計",IF(AND(O$6&gt;=$BH45,O$6&lt;=$BI45),"遅","")))))</f>
        <v/>
      </c>
      <c r="P45" s="93" t="str">
        <f>IF($BB45="","",IF(P$6=$BJ45,"◆",IF(AND(P$6&gt;=$BF45,P$6&lt;=$BG45),IF(AND(P$6&gt;=$BD45,P$6&lt;=$BE45),"実","外"),IF(AND(P$6&gt;=$BD45,P$6&lt;=$BE45),"計",IF(AND(P$6&gt;=$BH45,P$6&lt;=$BI45),"遅","")))))</f>
        <v/>
      </c>
      <c r="Q45" s="93" t="str">
        <f>IF($BB45="","",IF(Q$6=$BJ45,"◆",IF(AND(Q$6&gt;=$BF45,Q$6&lt;=$BG45),IF(AND(Q$6&gt;=$BD45,Q$6&lt;=$BE45),"実","外"),IF(AND(Q$6&gt;=$BD45,Q$6&lt;=$BE45),"計",IF(AND(Q$6&gt;=$BH45,Q$6&lt;=$BI45),"遅","")))))</f>
        <v/>
      </c>
      <c r="R45" s="93" t="str">
        <f>IF($BB45="","",IF(R$6=$BJ45,"◆",IF(AND(R$6&gt;=$BF45,R$6&lt;=$BG45),IF(AND(R$6&gt;=$BD45,R$6&lt;=$BE45),"実","外"),IF(AND(R$6&gt;=$BD45,R$6&lt;=$BE45),"計",IF(AND(R$6&gt;=$BH45,R$6&lt;=$BI45),"遅","")))))</f>
        <v/>
      </c>
      <c r="S45" s="93" t="str">
        <f>IF($BB45="","",IF(S$6=$BJ45,"◆",IF(AND(S$6&gt;=$BF45,S$6&lt;=$BG45),IF(AND(S$6&gt;=$BD45,S$6&lt;=$BE45),"実","外"),IF(AND(S$6&gt;=$BD45,S$6&lt;=$BE45),"計",IF(AND(S$6&gt;=$BH45,S$6&lt;=$BI45),"遅","")))))</f>
        <v/>
      </c>
      <c r="T45" s="93" t="str">
        <f>IF($BB45="","",IF(T$6=$BJ45,"◆",IF(AND(T$6&gt;=$BF45,T$6&lt;=$BG45),IF(AND(T$6&gt;=$BD45,T$6&lt;=$BE45),"実","外"),IF(AND(T$6&gt;=$BD45,T$6&lt;=$BE45),"計",IF(AND(T$6&gt;=$BH45,T$6&lt;=$BI45),"遅","")))))</f>
        <v/>
      </c>
      <c r="U45" s="93" t="str">
        <f>IF($BB45="","",IF(U$6=$BJ45,"◆",IF(AND(U$6&gt;=$BF45,U$6&lt;=$BG45),IF(AND(U$6&gt;=$BD45,U$6&lt;=$BE45),"実","外"),IF(AND(U$6&gt;=$BD45,U$6&lt;=$BE45),"計",IF(AND(U$6&gt;=$BH45,U$6&lt;=$BI45),"遅","")))))</f>
        <v/>
      </c>
      <c r="V45" s="93" t="str">
        <f>IF($BB45="","",IF(V$6=$BJ45,"◆",IF(AND(V$6&gt;=$BF45,V$6&lt;=$BG45),IF(AND(V$6&gt;=$BD45,V$6&lt;=$BE45),"実","外"),IF(AND(V$6&gt;=$BD45,V$6&lt;=$BE45),"計",IF(AND(V$6&gt;=$BH45,V$6&lt;=$BI45),"遅","")))))</f>
        <v/>
      </c>
      <c r="W45" s="93" t="str">
        <f>IF($BB45="","",IF(W$6=$BJ45,"◆",IF(AND(W$6&gt;=$BF45,W$6&lt;=$BG45),IF(AND(W$6&gt;=$BD45,W$6&lt;=$BE45),"実","外"),IF(AND(W$6&gt;=$BD45,W$6&lt;=$BE45),"計",IF(AND(W$6&gt;=$BH45,W$6&lt;=$BI45),"遅","")))))</f>
        <v/>
      </c>
      <c r="X45" s="93" t="str">
        <f>IF($BB45="","",IF(X$6=$BJ45,"◆",IF(AND(X$6&gt;=$BF45,X$6&lt;=$BG45),IF(AND(X$6&gt;=$BD45,X$6&lt;=$BE45),"実","外"),IF(AND(X$6&gt;=$BD45,X$6&lt;=$BE45),"計",IF(AND(X$6&gt;=$BH45,X$6&lt;=$BI45),"遅","")))))</f>
        <v/>
      </c>
      <c r="Y45" s="93" t="str">
        <f>IF($BB45="","",IF(Y$6=$BJ45,"◆",IF(AND(Y$6&gt;=$BF45,Y$6&lt;=$BG45),IF(AND(Y$6&gt;=$BD45,Y$6&lt;=$BE45),"実","外"),IF(AND(Y$6&gt;=$BD45,Y$6&lt;=$BE45),"計",IF(AND(Y$6&gt;=$BH45,Y$6&lt;=$BI45),"遅","")))))</f>
        <v/>
      </c>
      <c r="Z45" s="93" t="str">
        <f>IF($BB45="","",IF(Z$6=$BJ45,"◆",IF(AND(Z$6&gt;=$BF45,Z$6&lt;=$BG45),IF(AND(Z$6&gt;=$BD45,Z$6&lt;=$BE45),"実","外"),IF(AND(Z$6&gt;=$BD45,Z$6&lt;=$BE45),"計",IF(AND(Z$6&gt;=$BH45,Z$6&lt;=$BI45),"遅","")))))</f>
        <v/>
      </c>
      <c r="AA45" s="93" t="str">
        <f>IF($BB45="","",IF(AA$6=$BJ45,"◆",IF(AND(AA$6&gt;=$BF45,AA$6&lt;=$BG45),IF(AND(AA$6&gt;=$BD45,AA$6&lt;=$BE45),"実","外"),IF(AND(AA$6&gt;=$BD45,AA$6&lt;=$BE45),"計",IF(AND(AA$6&gt;=$BH45,AA$6&lt;=$BI45),"遅","")))))</f>
        <v/>
      </c>
      <c r="AB45" s="93" t="str">
        <f>IF($BB45="","",IF(AB$6=$BJ45,"◆",IF(AND(AB$6&gt;=$BF45,AB$6&lt;=$BG45),IF(AND(AB$6&gt;=$BD45,AB$6&lt;=$BE45),"実","外"),IF(AND(AB$6&gt;=$BD45,AB$6&lt;=$BE45),"計",IF(AND(AB$6&gt;=$BH45,AB$6&lt;=$BI45),"遅","")))))</f>
        <v/>
      </c>
      <c r="AC45" s="93" t="str">
        <f>IF($BB45="","",IF(AC$6=$BJ45,"◆",IF(AND(AC$6&gt;=$BF45,AC$6&lt;=$BG45),IF(AND(AC$6&gt;=$BD45,AC$6&lt;=$BE45),"実","外"),IF(AND(AC$6&gt;=$BD45,AC$6&lt;=$BE45),"計",IF(AND(AC$6&gt;=$BH45,AC$6&lt;=$BI45),"遅","")))))</f>
        <v/>
      </c>
      <c r="AD45" s="93" t="str">
        <f>IF($BB45="","",IF(AD$6=$BJ45,"◆",IF(AND(AD$6&gt;=$BF45,AD$6&lt;=$BG45),IF(AND(AD$6&gt;=$BD45,AD$6&lt;=$BE45),"実","外"),IF(AND(AD$6&gt;=$BD45,AD$6&lt;=$BE45),"計",IF(AND(AD$6&gt;=$BH45,AD$6&lt;=$BI45),"遅","")))))</f>
        <v/>
      </c>
      <c r="AE45" s="93" t="str">
        <f>IF($BB45="","",IF(AE$6=$BJ45,"◆",IF(AND(AE$6&gt;=$BF45,AE$6&lt;=$BG45),IF(AND(AE$6&gt;=$BD45,AE$6&lt;=$BE45),"実","外"),IF(AND(AE$6&gt;=$BD45,AE$6&lt;=$BE45),"計",IF(AND(AE$6&gt;=$BH45,AE$6&lt;=$BI45),"遅","")))))</f>
        <v/>
      </c>
      <c r="AF45" s="93" t="str">
        <f>IF($BB45="","",IF(AF$6=$BJ45,"◆",IF(AND(AF$6&gt;=$BF45,AF$6&lt;=$BG45),IF(AND(AF$6&gt;=$BD45,AF$6&lt;=$BE45),"実","外"),IF(AND(AF$6&gt;=$BD45,AF$6&lt;=$BE45),"計",IF(AND(AF$6&gt;=$BH45,AF$6&lt;=$BI45),"遅","")))))</f>
        <v/>
      </c>
      <c r="AG45" s="93" t="str">
        <f>IF($BB45="","",IF(AG$6=$BJ45,"◆",IF(AND(AG$6&gt;=$BF45,AG$6&lt;=$BG45),IF(AND(AG$6&gt;=$BD45,AG$6&lt;=$BE45),"実","外"),IF(AND(AG$6&gt;=$BD45,AG$6&lt;=$BE45),"計",IF(AND(AG$6&gt;=$BH45,AG$6&lt;=$BI45),"遅","")))))</f>
        <v/>
      </c>
      <c r="AH45" s="93" t="str">
        <f>IF($BB45="","",IF(AH$6=$BJ45,"◆",IF(AND(AH$6&gt;=$BF45,AH$6&lt;=$BG45),IF(AND(AH$6&gt;=$BD45,AH$6&lt;=$BE45),"実","外"),IF(AND(AH$6&gt;=$BD45,AH$6&lt;=$BE45),"計",IF(AND(AH$6&gt;=$BH45,AH$6&lt;=$BI45),"遅","")))))</f>
        <v/>
      </c>
      <c r="AI45" s="93" t="str">
        <f>IF($BB45="","",IF(AI$6=$BJ45,"◆",IF(AND(AI$6&gt;=$BF45,AI$6&lt;=$BG45),IF(AND(AI$6&gt;=$BD45,AI$6&lt;=$BE45),"実","外"),IF(AND(AI$6&gt;=$BD45,AI$6&lt;=$BE45),"計",IF(AND(AI$6&gt;=$BH45,AI$6&lt;=$BI45),"遅","")))))</f>
        <v/>
      </c>
      <c r="AJ45" s="93" t="str">
        <f>IF($BB45="","",IF(AJ$6=$BJ45,"◆",IF(AND(AJ$6&gt;=$BF45,AJ$6&lt;=$BG45),IF(AND(AJ$6&gt;=$BD45,AJ$6&lt;=$BE45),"実","外"),IF(AND(AJ$6&gt;=$BD45,AJ$6&lt;=$BE45),"計",IF(AND(AJ$6&gt;=$BH45,AJ$6&lt;=$BI45),"遅","")))))</f>
        <v/>
      </c>
      <c r="AK45" s="93" t="str">
        <f>IF($BB45="","",IF(AK$6=$BJ45,"◆",IF(AND(AK$6&gt;=$BF45,AK$6&lt;=$BG45),IF(AND(AK$6&gt;=$BD45,AK$6&lt;=$BE45),"実","外"),IF(AND(AK$6&gt;=$BD45,AK$6&lt;=$BE45),"計",IF(AND(AK$6&gt;=$BH45,AK$6&lt;=$BI45),"遅","")))))</f>
        <v/>
      </c>
      <c r="AL45" s="93" t="str">
        <f>IF($BB45="","",IF(AL$6=$BJ45,"◆",IF(AND(AL$6&gt;=$BF45,AL$6&lt;=$BG45),IF(AND(AL$6&gt;=$BD45,AL$6&lt;=$BE45),"実","外"),IF(AND(AL$6&gt;=$BD45,AL$6&lt;=$BE45),"計",IF(AND(AL$6&gt;=$BH45,AL$6&lt;=$BI45),"遅","")))))</f>
        <v/>
      </c>
      <c r="AM45" s="93" t="str">
        <f>IF($BB45="","",IF(AM$6=$BJ45,"◆",IF(AND(AM$6&gt;=$BF45,AM$6&lt;=$BG45),IF(AND(AM$6&gt;=$BD45,AM$6&lt;=$BE45),"実","外"),IF(AND(AM$6&gt;=$BD45,AM$6&lt;=$BE45),"計",IF(AND(AM$6&gt;=$BH45,AM$6&lt;=$BI45),"遅","")))))</f>
        <v/>
      </c>
      <c r="AN45" s="93" t="str">
        <f>IF($BB45="","",IF(AN$6=$BJ45,"◆",IF(AND(AN$6&gt;=$BF45,AN$6&lt;=$BG45),IF(AND(AN$6&gt;=$BD45,AN$6&lt;=$BE45),"実","外"),IF(AND(AN$6&gt;=$BD45,AN$6&lt;=$BE45),"計",IF(AND(AN$6&gt;=$BH45,AN$6&lt;=$BI45),"遅","")))))</f>
        <v/>
      </c>
      <c r="AO45" s="93" t="str">
        <f>IF($BB45="","",IF(AO$6=$BJ45,"◆",IF(AND(AO$6&gt;=$BF45,AO$6&lt;=$BG45),IF(AND(AO$6&gt;=$BD45,AO$6&lt;=$BE45),"実","外"),IF(AND(AO$6&gt;=$BD45,AO$6&lt;=$BE45),"計",IF(AND(AO$6&gt;=$BH45,AO$6&lt;=$BI45),"遅","")))))</f>
        <v/>
      </c>
      <c r="AP45" s="93" t="str">
        <f>IF($BB45="","",IF(AP$6=$BJ45,"◆",IF(AND(AP$6&gt;=$BF45,AP$6&lt;=$BG45),IF(AND(AP$6&gt;=$BD45,AP$6&lt;=$BE45),"実","外"),IF(AND(AP$6&gt;=$BD45,AP$6&lt;=$BE45),"計",IF(AND(AP$6&gt;=$BH45,AP$6&lt;=$BI45),"遅","")))))</f>
        <v/>
      </c>
      <c r="AQ45" s="93" t="str">
        <f>IF($BB45="","",IF(AQ$6=$BJ45,"◆",IF(AND(AQ$6&gt;=$BF45,AQ$6&lt;=$BG45),IF(AND(AQ$6&gt;=$BD45,AQ$6&lt;=$BE45),"実","外"),IF(AND(AQ$6&gt;=$BD45,AQ$6&lt;=$BE45),"計",IF(AND(AQ$6&gt;=$BH45,AQ$6&lt;=$BI45),"遅","")))))</f>
        <v/>
      </c>
      <c r="AR45" s="93" t="str">
        <f>IF($BB45="","",IF(AR$6=$BJ45,"◆",IF(AND(AR$6&gt;=$BF45,AR$6&lt;=$BG45),IF(AND(AR$6&gt;=$BD45,AR$6&lt;=$BE45),"実","外"),IF(AND(AR$6&gt;=$BD45,AR$6&lt;=$BE45),"計",IF(AND(AR$6&gt;=$BH45,AR$6&lt;=$BI45),"遅","")))))</f>
        <v/>
      </c>
      <c r="AS45" s="93" t="str">
        <f>IF($BB45="","",IF(AS$6=$BJ45,"◆",IF(AND(AS$6&gt;=$BF45,AS$6&lt;=$BG45),IF(AND(AS$6&gt;=$BD45,AS$6&lt;=$BE45),"実","外"),IF(AND(AS$6&gt;=$BD45,AS$6&lt;=$BE45),"計",IF(AND(AS$6&gt;=$BH45,AS$6&lt;=$BI45),"遅","")))))</f>
        <v/>
      </c>
      <c r="AT45" s="93" t="str">
        <f>IF($BB45="","",IF(AT$6=$BJ45,"◆",IF(AND(AT$6&gt;=$BF45,AT$6&lt;=$BG45),IF(AND(AT$6&gt;=$BD45,AT$6&lt;=$BE45),"実","外"),IF(AND(AT$6&gt;=$BD45,AT$6&lt;=$BE45),"計",IF(AND(AT$6&gt;=$BH45,AT$6&lt;=$BI45),"遅","")))))</f>
        <v/>
      </c>
      <c r="AU45" s="93" t="str">
        <f>IF($BB45="","",IF(AU$6=$BJ45,"◆",IF(AND(AU$6&gt;=$BF45,AU$6&lt;=$BG45),IF(AND(AU$6&gt;=$BD45,AU$6&lt;=$BE45),"実","外"),IF(AND(AU$6&gt;=$BD45,AU$6&lt;=$BE45),"計",IF(AND(AU$6&gt;=$BH45,AU$6&lt;=$BI45),"遅","")))))</f>
        <v/>
      </c>
      <c r="AV45" s="93" t="str">
        <f>IF($BB45="","",IF(AV$6=$BJ45,"◆",IF(AND(AV$6&gt;=$BF45,AV$6&lt;=$BG45),IF(AND(AV$6&gt;=$BD45,AV$6&lt;=$BE45),"実","外"),IF(AND(AV$6&gt;=$BD45,AV$6&lt;=$BE45),"計",IF(AND(AV$6&gt;=$BH45,AV$6&lt;=$BI45),"遅","")))))</f>
        <v/>
      </c>
      <c r="AW45" s="93" t="str">
        <f>IF($BB45="","",IF(AW$6=$BJ45,"◆",IF(AND(AW$6&gt;=$BF45,AW$6&lt;=$BG45),IF(AND(AW$6&gt;=$BD45,AW$6&lt;=$BE45),"実","外"),IF(AND(AW$6&gt;=$BD45,AW$6&lt;=$BE45),"計",IF(AND(AW$6&gt;=$BH45,AW$6&lt;=$BI45),"遅","")))))</f>
        <v/>
      </c>
      <c r="AX45" s="93" t="str">
        <f>IF($BB45="","",IF(AX$6=$BJ45,"◆",IF(AND(AX$6&gt;=$BF45,AX$6&lt;=$BG45),IF(AND(AX$6&gt;=$BD45,AX$6&lt;=$BE45),"実","外"),IF(AND(AX$6&gt;=$BD45,AX$6&lt;=$BE45),"計",IF(AND(AX$6&gt;=$BH45,AX$6&lt;=$BI45),"遅","")))))</f>
        <v/>
      </c>
      <c r="AY45" s="93" t="str">
        <f>IF($BB45="","",IF(AY$6=$BJ45,"◆",IF(AND(AY$6&gt;=$BF45,AY$6&lt;=$BG45),IF(AND(AY$6&gt;=$BD45,AY$6&lt;=$BE45),"実","外"),IF(AND(AY$6&gt;=$BD45,AY$6&lt;=$BE45),"計",IF(AND(AY$6&gt;=$BH45,AY$6&lt;=$BI45),"遅","")))))</f>
        <v/>
      </c>
      <c r="AZ45" s="93" t="str">
        <f>IF($BB45="","",IF(AZ$6=$BJ45,"◆",IF(AND(AZ$6&gt;=$BF45,AZ$6&lt;=$BG45),IF(AND(AZ$6&gt;=$BD45,AZ$6&lt;=$BE45),"実","外"),IF(AND(AZ$6&gt;=$BD45,AZ$6&lt;=$BE45),"計",IF(AND(AZ$6&gt;=$BH45,AZ$6&lt;=$BI45),"遅","")))))</f>
        <v/>
      </c>
      <c r="BB45" t="str">
        <f>IF(38&gt;COUNTIF(tblSteps[日別対象],1),"",IFERROR(MATCH(38,tblSteps[日別順位],0),""))</f>
        <v/>
      </c>
      <c r="BC45" t="str">
        <f>IF($BB45="","",INDEX(tblSteps[案件ID],$BB45)&amp;"")</f>
        <v/>
      </c>
      <c r="BD45" t="str">
        <f>IF($BB45="","",INDEX(tblSteps[計開],$BB45))</f>
        <v/>
      </c>
      <c r="BE45" t="str">
        <f>IF($BB45="","",INDEX(tblSteps[計終],$BB45))</f>
        <v/>
      </c>
      <c r="BF45" t="str">
        <f>IF($BB45="","",INDEX(tblSteps[実開],$BB45))</f>
        <v/>
      </c>
      <c r="BG45" t="str">
        <f>IF($BB45="","",INDEX(tblSteps[実終],$BB45))</f>
        <v/>
      </c>
      <c r="BH45" t="str">
        <f>IF($BB45="","",INDEX(tblSteps[遅開],$BB45))</f>
        <v/>
      </c>
      <c r="BI45" t="str">
        <f>IF($BB45="","",INDEX(tblSteps[遅終],$BB45))</f>
        <v/>
      </c>
      <c r="BJ45" t="str">
        <f>IF($BB45="","",INDEX(tblSteps[納期値],$BB45))</f>
        <v/>
      </c>
    </row>
    <row r="46" ht="18" customHeight="1">
      <c r="A46" s="89" t="str">
        <f>IF($BB46="","",INDEX(tblSteps[工程ID],$BB46)&amp;"")</f>
        <v/>
      </c>
      <c r="B46" s="88" t="str">
        <f>IF($BB46="","",IF($BC46=$BC45,"",$BC46&amp;" "&amp;INDEX(tblSteps[案件名],$BB46)))</f>
        <v/>
      </c>
      <c r="C46" s="88" t="str">
        <f>IF($BB46="","",INDEX(tblSteps[工程名],$BB46)&amp;"")</f>
        <v/>
      </c>
      <c r="D46" s="89" t="str">
        <f>IF($BB46="","",INDEX(tblSteps[担当],$BB46)&amp;"")</f>
        <v/>
      </c>
      <c r="E46" s="89" t="str">
        <f>IF($BB46="","",INDEX(tblSteps[状態],$BB46)&amp;"")</f>
        <v/>
      </c>
      <c r="F46" s="90" t="str">
        <f>IF($BB46="","",IF(ISNUMBER(INDEX(tblSteps[進捗率],$BB46)),INDEX(tblSteps[進捗率],$BB46),""))</f>
        <v/>
      </c>
      <c r="G46" s="91" t="str">
        <f>IF($BB46="","",IF(ISNUMBER(INDEX(tblSteps[計画開始日],$BB46)),INDEX(tblSteps[計画開始日],$BB46),"未入力"))</f>
        <v/>
      </c>
      <c r="H46" s="91" t="str">
        <f>IF($BB46="","",IF(ISNUMBER(INDEX(tblSteps[計画終了日],$BB46)),INDEX(tblSteps[計画終了日],$BB46),"未入力"))</f>
        <v/>
      </c>
      <c r="I46" s="91" t="str">
        <f>IF($BB46="","",IF(ISNUMBER(INDEX(tblSteps[完了見込日],$BB46)),INDEX(tblSteps[完了見込日],$BB46),""))</f>
        <v/>
      </c>
      <c r="J46" s="92" t="str">
        <f>IF($BB46="","",INDEX(tblSteps[注意短],$BB46)&amp;"")</f>
        <v/>
      </c>
      <c r="K46" s="93" t="str">
        <f>IF($BB46="","",IF(K$6=$BJ46,"◆",IF(AND(K$6&gt;=$BF46,K$6&lt;=$BG46),IF(AND(K$6&gt;=$BD46,K$6&lt;=$BE46),"実","外"),IF(AND(K$6&gt;=$BD46,K$6&lt;=$BE46),"計",IF(AND(K$6&gt;=$BH46,K$6&lt;=$BI46),"遅","")))))</f>
        <v/>
      </c>
      <c r="L46" s="93" t="str">
        <f>IF($BB46="","",IF(L$6=$BJ46,"◆",IF(AND(L$6&gt;=$BF46,L$6&lt;=$BG46),IF(AND(L$6&gt;=$BD46,L$6&lt;=$BE46),"実","外"),IF(AND(L$6&gt;=$BD46,L$6&lt;=$BE46),"計",IF(AND(L$6&gt;=$BH46,L$6&lt;=$BI46),"遅","")))))</f>
        <v/>
      </c>
      <c r="M46" s="93" t="str">
        <f>IF($BB46="","",IF(M$6=$BJ46,"◆",IF(AND(M$6&gt;=$BF46,M$6&lt;=$BG46),IF(AND(M$6&gt;=$BD46,M$6&lt;=$BE46),"実","外"),IF(AND(M$6&gt;=$BD46,M$6&lt;=$BE46),"計",IF(AND(M$6&gt;=$BH46,M$6&lt;=$BI46),"遅","")))))</f>
        <v/>
      </c>
      <c r="N46" s="93" t="str">
        <f>IF($BB46="","",IF(N$6=$BJ46,"◆",IF(AND(N$6&gt;=$BF46,N$6&lt;=$BG46),IF(AND(N$6&gt;=$BD46,N$6&lt;=$BE46),"実","外"),IF(AND(N$6&gt;=$BD46,N$6&lt;=$BE46),"計",IF(AND(N$6&gt;=$BH46,N$6&lt;=$BI46),"遅","")))))</f>
        <v/>
      </c>
      <c r="O46" s="93" t="str">
        <f>IF($BB46="","",IF(O$6=$BJ46,"◆",IF(AND(O$6&gt;=$BF46,O$6&lt;=$BG46),IF(AND(O$6&gt;=$BD46,O$6&lt;=$BE46),"実","外"),IF(AND(O$6&gt;=$BD46,O$6&lt;=$BE46),"計",IF(AND(O$6&gt;=$BH46,O$6&lt;=$BI46),"遅","")))))</f>
        <v/>
      </c>
      <c r="P46" s="93" t="str">
        <f>IF($BB46="","",IF(P$6=$BJ46,"◆",IF(AND(P$6&gt;=$BF46,P$6&lt;=$BG46),IF(AND(P$6&gt;=$BD46,P$6&lt;=$BE46),"実","外"),IF(AND(P$6&gt;=$BD46,P$6&lt;=$BE46),"計",IF(AND(P$6&gt;=$BH46,P$6&lt;=$BI46),"遅","")))))</f>
        <v/>
      </c>
      <c r="Q46" s="93" t="str">
        <f>IF($BB46="","",IF(Q$6=$BJ46,"◆",IF(AND(Q$6&gt;=$BF46,Q$6&lt;=$BG46),IF(AND(Q$6&gt;=$BD46,Q$6&lt;=$BE46),"実","外"),IF(AND(Q$6&gt;=$BD46,Q$6&lt;=$BE46),"計",IF(AND(Q$6&gt;=$BH46,Q$6&lt;=$BI46),"遅","")))))</f>
        <v/>
      </c>
      <c r="R46" s="93" t="str">
        <f>IF($BB46="","",IF(R$6=$BJ46,"◆",IF(AND(R$6&gt;=$BF46,R$6&lt;=$BG46),IF(AND(R$6&gt;=$BD46,R$6&lt;=$BE46),"実","外"),IF(AND(R$6&gt;=$BD46,R$6&lt;=$BE46),"計",IF(AND(R$6&gt;=$BH46,R$6&lt;=$BI46),"遅","")))))</f>
        <v/>
      </c>
      <c r="S46" s="93" t="str">
        <f>IF($BB46="","",IF(S$6=$BJ46,"◆",IF(AND(S$6&gt;=$BF46,S$6&lt;=$BG46),IF(AND(S$6&gt;=$BD46,S$6&lt;=$BE46),"実","外"),IF(AND(S$6&gt;=$BD46,S$6&lt;=$BE46),"計",IF(AND(S$6&gt;=$BH46,S$6&lt;=$BI46),"遅","")))))</f>
        <v/>
      </c>
      <c r="T46" s="93" t="str">
        <f>IF($BB46="","",IF(T$6=$BJ46,"◆",IF(AND(T$6&gt;=$BF46,T$6&lt;=$BG46),IF(AND(T$6&gt;=$BD46,T$6&lt;=$BE46),"実","外"),IF(AND(T$6&gt;=$BD46,T$6&lt;=$BE46),"計",IF(AND(T$6&gt;=$BH46,T$6&lt;=$BI46),"遅","")))))</f>
        <v/>
      </c>
      <c r="U46" s="93" t="str">
        <f>IF($BB46="","",IF(U$6=$BJ46,"◆",IF(AND(U$6&gt;=$BF46,U$6&lt;=$BG46),IF(AND(U$6&gt;=$BD46,U$6&lt;=$BE46),"実","外"),IF(AND(U$6&gt;=$BD46,U$6&lt;=$BE46),"計",IF(AND(U$6&gt;=$BH46,U$6&lt;=$BI46),"遅","")))))</f>
        <v/>
      </c>
      <c r="V46" s="93" t="str">
        <f>IF($BB46="","",IF(V$6=$BJ46,"◆",IF(AND(V$6&gt;=$BF46,V$6&lt;=$BG46),IF(AND(V$6&gt;=$BD46,V$6&lt;=$BE46),"実","外"),IF(AND(V$6&gt;=$BD46,V$6&lt;=$BE46),"計",IF(AND(V$6&gt;=$BH46,V$6&lt;=$BI46),"遅","")))))</f>
        <v/>
      </c>
      <c r="W46" s="93" t="str">
        <f>IF($BB46="","",IF(W$6=$BJ46,"◆",IF(AND(W$6&gt;=$BF46,W$6&lt;=$BG46),IF(AND(W$6&gt;=$BD46,W$6&lt;=$BE46),"実","外"),IF(AND(W$6&gt;=$BD46,W$6&lt;=$BE46),"計",IF(AND(W$6&gt;=$BH46,W$6&lt;=$BI46),"遅","")))))</f>
        <v/>
      </c>
      <c r="X46" s="93" t="str">
        <f>IF($BB46="","",IF(X$6=$BJ46,"◆",IF(AND(X$6&gt;=$BF46,X$6&lt;=$BG46),IF(AND(X$6&gt;=$BD46,X$6&lt;=$BE46),"実","外"),IF(AND(X$6&gt;=$BD46,X$6&lt;=$BE46),"計",IF(AND(X$6&gt;=$BH46,X$6&lt;=$BI46),"遅","")))))</f>
        <v/>
      </c>
      <c r="Y46" s="93" t="str">
        <f>IF($BB46="","",IF(Y$6=$BJ46,"◆",IF(AND(Y$6&gt;=$BF46,Y$6&lt;=$BG46),IF(AND(Y$6&gt;=$BD46,Y$6&lt;=$BE46),"実","外"),IF(AND(Y$6&gt;=$BD46,Y$6&lt;=$BE46),"計",IF(AND(Y$6&gt;=$BH46,Y$6&lt;=$BI46),"遅","")))))</f>
        <v/>
      </c>
      <c r="Z46" s="93" t="str">
        <f>IF($BB46="","",IF(Z$6=$BJ46,"◆",IF(AND(Z$6&gt;=$BF46,Z$6&lt;=$BG46),IF(AND(Z$6&gt;=$BD46,Z$6&lt;=$BE46),"実","外"),IF(AND(Z$6&gt;=$BD46,Z$6&lt;=$BE46),"計",IF(AND(Z$6&gt;=$BH46,Z$6&lt;=$BI46),"遅","")))))</f>
        <v/>
      </c>
      <c r="AA46" s="93" t="str">
        <f>IF($BB46="","",IF(AA$6=$BJ46,"◆",IF(AND(AA$6&gt;=$BF46,AA$6&lt;=$BG46),IF(AND(AA$6&gt;=$BD46,AA$6&lt;=$BE46),"実","外"),IF(AND(AA$6&gt;=$BD46,AA$6&lt;=$BE46),"計",IF(AND(AA$6&gt;=$BH46,AA$6&lt;=$BI46),"遅","")))))</f>
        <v/>
      </c>
      <c r="AB46" s="93" t="str">
        <f>IF($BB46="","",IF(AB$6=$BJ46,"◆",IF(AND(AB$6&gt;=$BF46,AB$6&lt;=$BG46),IF(AND(AB$6&gt;=$BD46,AB$6&lt;=$BE46),"実","外"),IF(AND(AB$6&gt;=$BD46,AB$6&lt;=$BE46),"計",IF(AND(AB$6&gt;=$BH46,AB$6&lt;=$BI46),"遅","")))))</f>
        <v/>
      </c>
      <c r="AC46" s="93" t="str">
        <f>IF($BB46="","",IF(AC$6=$BJ46,"◆",IF(AND(AC$6&gt;=$BF46,AC$6&lt;=$BG46),IF(AND(AC$6&gt;=$BD46,AC$6&lt;=$BE46),"実","外"),IF(AND(AC$6&gt;=$BD46,AC$6&lt;=$BE46),"計",IF(AND(AC$6&gt;=$BH46,AC$6&lt;=$BI46),"遅","")))))</f>
        <v/>
      </c>
      <c r="AD46" s="93" t="str">
        <f>IF($BB46="","",IF(AD$6=$BJ46,"◆",IF(AND(AD$6&gt;=$BF46,AD$6&lt;=$BG46),IF(AND(AD$6&gt;=$BD46,AD$6&lt;=$BE46),"実","外"),IF(AND(AD$6&gt;=$BD46,AD$6&lt;=$BE46),"計",IF(AND(AD$6&gt;=$BH46,AD$6&lt;=$BI46),"遅","")))))</f>
        <v/>
      </c>
      <c r="AE46" s="93" t="str">
        <f>IF($BB46="","",IF(AE$6=$BJ46,"◆",IF(AND(AE$6&gt;=$BF46,AE$6&lt;=$BG46),IF(AND(AE$6&gt;=$BD46,AE$6&lt;=$BE46),"実","外"),IF(AND(AE$6&gt;=$BD46,AE$6&lt;=$BE46),"計",IF(AND(AE$6&gt;=$BH46,AE$6&lt;=$BI46),"遅","")))))</f>
        <v/>
      </c>
      <c r="AF46" s="93" t="str">
        <f>IF($BB46="","",IF(AF$6=$BJ46,"◆",IF(AND(AF$6&gt;=$BF46,AF$6&lt;=$BG46),IF(AND(AF$6&gt;=$BD46,AF$6&lt;=$BE46),"実","外"),IF(AND(AF$6&gt;=$BD46,AF$6&lt;=$BE46),"計",IF(AND(AF$6&gt;=$BH46,AF$6&lt;=$BI46),"遅","")))))</f>
        <v/>
      </c>
      <c r="AG46" s="93" t="str">
        <f>IF($BB46="","",IF(AG$6=$BJ46,"◆",IF(AND(AG$6&gt;=$BF46,AG$6&lt;=$BG46),IF(AND(AG$6&gt;=$BD46,AG$6&lt;=$BE46),"実","外"),IF(AND(AG$6&gt;=$BD46,AG$6&lt;=$BE46),"計",IF(AND(AG$6&gt;=$BH46,AG$6&lt;=$BI46),"遅","")))))</f>
        <v/>
      </c>
      <c r="AH46" s="93" t="str">
        <f>IF($BB46="","",IF(AH$6=$BJ46,"◆",IF(AND(AH$6&gt;=$BF46,AH$6&lt;=$BG46),IF(AND(AH$6&gt;=$BD46,AH$6&lt;=$BE46),"実","外"),IF(AND(AH$6&gt;=$BD46,AH$6&lt;=$BE46),"計",IF(AND(AH$6&gt;=$BH46,AH$6&lt;=$BI46),"遅","")))))</f>
        <v/>
      </c>
      <c r="AI46" s="93" t="str">
        <f>IF($BB46="","",IF(AI$6=$BJ46,"◆",IF(AND(AI$6&gt;=$BF46,AI$6&lt;=$BG46),IF(AND(AI$6&gt;=$BD46,AI$6&lt;=$BE46),"実","外"),IF(AND(AI$6&gt;=$BD46,AI$6&lt;=$BE46),"計",IF(AND(AI$6&gt;=$BH46,AI$6&lt;=$BI46),"遅","")))))</f>
        <v/>
      </c>
      <c r="AJ46" s="93" t="str">
        <f>IF($BB46="","",IF(AJ$6=$BJ46,"◆",IF(AND(AJ$6&gt;=$BF46,AJ$6&lt;=$BG46),IF(AND(AJ$6&gt;=$BD46,AJ$6&lt;=$BE46),"実","外"),IF(AND(AJ$6&gt;=$BD46,AJ$6&lt;=$BE46),"計",IF(AND(AJ$6&gt;=$BH46,AJ$6&lt;=$BI46),"遅","")))))</f>
        <v/>
      </c>
      <c r="AK46" s="93" t="str">
        <f>IF($BB46="","",IF(AK$6=$BJ46,"◆",IF(AND(AK$6&gt;=$BF46,AK$6&lt;=$BG46),IF(AND(AK$6&gt;=$BD46,AK$6&lt;=$BE46),"実","外"),IF(AND(AK$6&gt;=$BD46,AK$6&lt;=$BE46),"計",IF(AND(AK$6&gt;=$BH46,AK$6&lt;=$BI46),"遅","")))))</f>
        <v/>
      </c>
      <c r="AL46" s="93" t="str">
        <f>IF($BB46="","",IF(AL$6=$BJ46,"◆",IF(AND(AL$6&gt;=$BF46,AL$6&lt;=$BG46),IF(AND(AL$6&gt;=$BD46,AL$6&lt;=$BE46),"実","外"),IF(AND(AL$6&gt;=$BD46,AL$6&lt;=$BE46),"計",IF(AND(AL$6&gt;=$BH46,AL$6&lt;=$BI46),"遅","")))))</f>
        <v/>
      </c>
      <c r="AM46" s="93" t="str">
        <f>IF($BB46="","",IF(AM$6=$BJ46,"◆",IF(AND(AM$6&gt;=$BF46,AM$6&lt;=$BG46),IF(AND(AM$6&gt;=$BD46,AM$6&lt;=$BE46),"実","外"),IF(AND(AM$6&gt;=$BD46,AM$6&lt;=$BE46),"計",IF(AND(AM$6&gt;=$BH46,AM$6&lt;=$BI46),"遅","")))))</f>
        <v/>
      </c>
      <c r="AN46" s="93" t="str">
        <f>IF($BB46="","",IF(AN$6=$BJ46,"◆",IF(AND(AN$6&gt;=$BF46,AN$6&lt;=$BG46),IF(AND(AN$6&gt;=$BD46,AN$6&lt;=$BE46),"実","外"),IF(AND(AN$6&gt;=$BD46,AN$6&lt;=$BE46),"計",IF(AND(AN$6&gt;=$BH46,AN$6&lt;=$BI46),"遅","")))))</f>
        <v/>
      </c>
      <c r="AO46" s="93" t="str">
        <f>IF($BB46="","",IF(AO$6=$BJ46,"◆",IF(AND(AO$6&gt;=$BF46,AO$6&lt;=$BG46),IF(AND(AO$6&gt;=$BD46,AO$6&lt;=$BE46),"実","外"),IF(AND(AO$6&gt;=$BD46,AO$6&lt;=$BE46),"計",IF(AND(AO$6&gt;=$BH46,AO$6&lt;=$BI46),"遅","")))))</f>
        <v/>
      </c>
      <c r="AP46" s="93" t="str">
        <f>IF($BB46="","",IF(AP$6=$BJ46,"◆",IF(AND(AP$6&gt;=$BF46,AP$6&lt;=$BG46),IF(AND(AP$6&gt;=$BD46,AP$6&lt;=$BE46),"実","外"),IF(AND(AP$6&gt;=$BD46,AP$6&lt;=$BE46),"計",IF(AND(AP$6&gt;=$BH46,AP$6&lt;=$BI46),"遅","")))))</f>
        <v/>
      </c>
      <c r="AQ46" s="93" t="str">
        <f>IF($BB46="","",IF(AQ$6=$BJ46,"◆",IF(AND(AQ$6&gt;=$BF46,AQ$6&lt;=$BG46),IF(AND(AQ$6&gt;=$BD46,AQ$6&lt;=$BE46),"実","外"),IF(AND(AQ$6&gt;=$BD46,AQ$6&lt;=$BE46),"計",IF(AND(AQ$6&gt;=$BH46,AQ$6&lt;=$BI46),"遅","")))))</f>
        <v/>
      </c>
      <c r="AR46" s="93" t="str">
        <f>IF($BB46="","",IF(AR$6=$BJ46,"◆",IF(AND(AR$6&gt;=$BF46,AR$6&lt;=$BG46),IF(AND(AR$6&gt;=$BD46,AR$6&lt;=$BE46),"実","外"),IF(AND(AR$6&gt;=$BD46,AR$6&lt;=$BE46),"計",IF(AND(AR$6&gt;=$BH46,AR$6&lt;=$BI46),"遅","")))))</f>
        <v/>
      </c>
      <c r="AS46" s="93" t="str">
        <f>IF($BB46="","",IF(AS$6=$BJ46,"◆",IF(AND(AS$6&gt;=$BF46,AS$6&lt;=$BG46),IF(AND(AS$6&gt;=$BD46,AS$6&lt;=$BE46),"実","外"),IF(AND(AS$6&gt;=$BD46,AS$6&lt;=$BE46),"計",IF(AND(AS$6&gt;=$BH46,AS$6&lt;=$BI46),"遅","")))))</f>
        <v/>
      </c>
      <c r="AT46" s="93" t="str">
        <f>IF($BB46="","",IF(AT$6=$BJ46,"◆",IF(AND(AT$6&gt;=$BF46,AT$6&lt;=$BG46),IF(AND(AT$6&gt;=$BD46,AT$6&lt;=$BE46),"実","外"),IF(AND(AT$6&gt;=$BD46,AT$6&lt;=$BE46),"計",IF(AND(AT$6&gt;=$BH46,AT$6&lt;=$BI46),"遅","")))))</f>
        <v/>
      </c>
      <c r="AU46" s="93" t="str">
        <f>IF($BB46="","",IF(AU$6=$BJ46,"◆",IF(AND(AU$6&gt;=$BF46,AU$6&lt;=$BG46),IF(AND(AU$6&gt;=$BD46,AU$6&lt;=$BE46),"実","外"),IF(AND(AU$6&gt;=$BD46,AU$6&lt;=$BE46),"計",IF(AND(AU$6&gt;=$BH46,AU$6&lt;=$BI46),"遅","")))))</f>
        <v/>
      </c>
      <c r="AV46" s="93" t="str">
        <f>IF($BB46="","",IF(AV$6=$BJ46,"◆",IF(AND(AV$6&gt;=$BF46,AV$6&lt;=$BG46),IF(AND(AV$6&gt;=$BD46,AV$6&lt;=$BE46),"実","外"),IF(AND(AV$6&gt;=$BD46,AV$6&lt;=$BE46),"計",IF(AND(AV$6&gt;=$BH46,AV$6&lt;=$BI46),"遅","")))))</f>
        <v/>
      </c>
      <c r="AW46" s="93" t="str">
        <f>IF($BB46="","",IF(AW$6=$BJ46,"◆",IF(AND(AW$6&gt;=$BF46,AW$6&lt;=$BG46),IF(AND(AW$6&gt;=$BD46,AW$6&lt;=$BE46),"実","外"),IF(AND(AW$6&gt;=$BD46,AW$6&lt;=$BE46),"計",IF(AND(AW$6&gt;=$BH46,AW$6&lt;=$BI46),"遅","")))))</f>
        <v/>
      </c>
      <c r="AX46" s="93" t="str">
        <f>IF($BB46="","",IF(AX$6=$BJ46,"◆",IF(AND(AX$6&gt;=$BF46,AX$6&lt;=$BG46),IF(AND(AX$6&gt;=$BD46,AX$6&lt;=$BE46),"実","外"),IF(AND(AX$6&gt;=$BD46,AX$6&lt;=$BE46),"計",IF(AND(AX$6&gt;=$BH46,AX$6&lt;=$BI46),"遅","")))))</f>
        <v/>
      </c>
      <c r="AY46" s="93" t="str">
        <f>IF($BB46="","",IF(AY$6=$BJ46,"◆",IF(AND(AY$6&gt;=$BF46,AY$6&lt;=$BG46),IF(AND(AY$6&gt;=$BD46,AY$6&lt;=$BE46),"実","外"),IF(AND(AY$6&gt;=$BD46,AY$6&lt;=$BE46),"計",IF(AND(AY$6&gt;=$BH46,AY$6&lt;=$BI46),"遅","")))))</f>
        <v/>
      </c>
      <c r="AZ46" s="93" t="str">
        <f>IF($BB46="","",IF(AZ$6=$BJ46,"◆",IF(AND(AZ$6&gt;=$BF46,AZ$6&lt;=$BG46),IF(AND(AZ$6&gt;=$BD46,AZ$6&lt;=$BE46),"実","外"),IF(AND(AZ$6&gt;=$BD46,AZ$6&lt;=$BE46),"計",IF(AND(AZ$6&gt;=$BH46,AZ$6&lt;=$BI46),"遅","")))))</f>
        <v/>
      </c>
      <c r="BB46" t="str">
        <f>IF(39&gt;COUNTIF(tblSteps[日別対象],1),"",IFERROR(MATCH(39,tblSteps[日別順位],0),""))</f>
        <v/>
      </c>
      <c r="BC46" t="str">
        <f>IF($BB46="","",INDEX(tblSteps[案件ID],$BB46)&amp;"")</f>
        <v/>
      </c>
      <c r="BD46" t="str">
        <f>IF($BB46="","",INDEX(tblSteps[計開],$BB46))</f>
        <v/>
      </c>
      <c r="BE46" t="str">
        <f>IF($BB46="","",INDEX(tblSteps[計終],$BB46))</f>
        <v/>
      </c>
      <c r="BF46" t="str">
        <f>IF($BB46="","",INDEX(tblSteps[実開],$BB46))</f>
        <v/>
      </c>
      <c r="BG46" t="str">
        <f>IF($BB46="","",INDEX(tblSteps[実終],$BB46))</f>
        <v/>
      </c>
      <c r="BH46" t="str">
        <f>IF($BB46="","",INDEX(tblSteps[遅開],$BB46))</f>
        <v/>
      </c>
      <c r="BI46" t="str">
        <f>IF($BB46="","",INDEX(tblSteps[遅終],$BB46))</f>
        <v/>
      </c>
      <c r="BJ46" t="str">
        <f>IF($BB46="","",INDEX(tblSteps[納期値],$BB46))</f>
        <v/>
      </c>
    </row>
    <row r="47" ht="18" customHeight="1">
      <c r="A47" s="89" t="str">
        <f>IF($BB47="","",INDEX(tblSteps[工程ID],$BB47)&amp;"")</f>
        <v/>
      </c>
      <c r="B47" s="88" t="str">
        <f>IF($BB47="","",IF($BC47=$BC46,"",$BC47&amp;" "&amp;INDEX(tblSteps[案件名],$BB47)))</f>
        <v/>
      </c>
      <c r="C47" s="88" t="str">
        <f>IF($BB47="","",INDEX(tblSteps[工程名],$BB47)&amp;"")</f>
        <v/>
      </c>
      <c r="D47" s="89" t="str">
        <f>IF($BB47="","",INDEX(tblSteps[担当],$BB47)&amp;"")</f>
        <v/>
      </c>
      <c r="E47" s="89" t="str">
        <f>IF($BB47="","",INDEX(tblSteps[状態],$BB47)&amp;"")</f>
        <v/>
      </c>
      <c r="F47" s="90" t="str">
        <f>IF($BB47="","",IF(ISNUMBER(INDEX(tblSteps[進捗率],$BB47)),INDEX(tblSteps[進捗率],$BB47),""))</f>
        <v/>
      </c>
      <c r="G47" s="91" t="str">
        <f>IF($BB47="","",IF(ISNUMBER(INDEX(tblSteps[計画開始日],$BB47)),INDEX(tblSteps[計画開始日],$BB47),"未入力"))</f>
        <v/>
      </c>
      <c r="H47" s="91" t="str">
        <f>IF($BB47="","",IF(ISNUMBER(INDEX(tblSteps[計画終了日],$BB47)),INDEX(tblSteps[計画終了日],$BB47),"未入力"))</f>
        <v/>
      </c>
      <c r="I47" s="91" t="str">
        <f>IF($BB47="","",IF(ISNUMBER(INDEX(tblSteps[完了見込日],$BB47)),INDEX(tblSteps[完了見込日],$BB47),""))</f>
        <v/>
      </c>
      <c r="J47" s="92" t="str">
        <f>IF($BB47="","",INDEX(tblSteps[注意短],$BB47)&amp;"")</f>
        <v/>
      </c>
      <c r="K47" s="93" t="str">
        <f>IF($BB47="","",IF(K$6=$BJ47,"◆",IF(AND(K$6&gt;=$BF47,K$6&lt;=$BG47),IF(AND(K$6&gt;=$BD47,K$6&lt;=$BE47),"実","外"),IF(AND(K$6&gt;=$BD47,K$6&lt;=$BE47),"計",IF(AND(K$6&gt;=$BH47,K$6&lt;=$BI47),"遅","")))))</f>
        <v/>
      </c>
      <c r="L47" s="93" t="str">
        <f>IF($BB47="","",IF(L$6=$BJ47,"◆",IF(AND(L$6&gt;=$BF47,L$6&lt;=$BG47),IF(AND(L$6&gt;=$BD47,L$6&lt;=$BE47),"実","外"),IF(AND(L$6&gt;=$BD47,L$6&lt;=$BE47),"計",IF(AND(L$6&gt;=$BH47,L$6&lt;=$BI47),"遅","")))))</f>
        <v/>
      </c>
      <c r="M47" s="93" t="str">
        <f>IF($BB47="","",IF(M$6=$BJ47,"◆",IF(AND(M$6&gt;=$BF47,M$6&lt;=$BG47),IF(AND(M$6&gt;=$BD47,M$6&lt;=$BE47),"実","外"),IF(AND(M$6&gt;=$BD47,M$6&lt;=$BE47),"計",IF(AND(M$6&gt;=$BH47,M$6&lt;=$BI47),"遅","")))))</f>
        <v/>
      </c>
      <c r="N47" s="93" t="str">
        <f>IF($BB47="","",IF(N$6=$BJ47,"◆",IF(AND(N$6&gt;=$BF47,N$6&lt;=$BG47),IF(AND(N$6&gt;=$BD47,N$6&lt;=$BE47),"実","外"),IF(AND(N$6&gt;=$BD47,N$6&lt;=$BE47),"計",IF(AND(N$6&gt;=$BH47,N$6&lt;=$BI47),"遅","")))))</f>
        <v/>
      </c>
      <c r="O47" s="93" t="str">
        <f>IF($BB47="","",IF(O$6=$BJ47,"◆",IF(AND(O$6&gt;=$BF47,O$6&lt;=$BG47),IF(AND(O$6&gt;=$BD47,O$6&lt;=$BE47),"実","外"),IF(AND(O$6&gt;=$BD47,O$6&lt;=$BE47),"計",IF(AND(O$6&gt;=$BH47,O$6&lt;=$BI47),"遅","")))))</f>
        <v/>
      </c>
      <c r="P47" s="93" t="str">
        <f>IF($BB47="","",IF(P$6=$BJ47,"◆",IF(AND(P$6&gt;=$BF47,P$6&lt;=$BG47),IF(AND(P$6&gt;=$BD47,P$6&lt;=$BE47),"実","外"),IF(AND(P$6&gt;=$BD47,P$6&lt;=$BE47),"計",IF(AND(P$6&gt;=$BH47,P$6&lt;=$BI47),"遅","")))))</f>
        <v/>
      </c>
      <c r="Q47" s="93" t="str">
        <f>IF($BB47="","",IF(Q$6=$BJ47,"◆",IF(AND(Q$6&gt;=$BF47,Q$6&lt;=$BG47),IF(AND(Q$6&gt;=$BD47,Q$6&lt;=$BE47),"実","外"),IF(AND(Q$6&gt;=$BD47,Q$6&lt;=$BE47),"計",IF(AND(Q$6&gt;=$BH47,Q$6&lt;=$BI47),"遅","")))))</f>
        <v/>
      </c>
      <c r="R47" s="93" t="str">
        <f>IF($BB47="","",IF(R$6=$BJ47,"◆",IF(AND(R$6&gt;=$BF47,R$6&lt;=$BG47),IF(AND(R$6&gt;=$BD47,R$6&lt;=$BE47),"実","外"),IF(AND(R$6&gt;=$BD47,R$6&lt;=$BE47),"計",IF(AND(R$6&gt;=$BH47,R$6&lt;=$BI47),"遅","")))))</f>
        <v/>
      </c>
      <c r="S47" s="93" t="str">
        <f>IF($BB47="","",IF(S$6=$BJ47,"◆",IF(AND(S$6&gt;=$BF47,S$6&lt;=$BG47),IF(AND(S$6&gt;=$BD47,S$6&lt;=$BE47),"実","外"),IF(AND(S$6&gt;=$BD47,S$6&lt;=$BE47),"計",IF(AND(S$6&gt;=$BH47,S$6&lt;=$BI47),"遅","")))))</f>
        <v/>
      </c>
      <c r="T47" s="93" t="str">
        <f>IF($BB47="","",IF(T$6=$BJ47,"◆",IF(AND(T$6&gt;=$BF47,T$6&lt;=$BG47),IF(AND(T$6&gt;=$BD47,T$6&lt;=$BE47),"実","外"),IF(AND(T$6&gt;=$BD47,T$6&lt;=$BE47),"計",IF(AND(T$6&gt;=$BH47,T$6&lt;=$BI47),"遅","")))))</f>
        <v/>
      </c>
      <c r="U47" s="93" t="str">
        <f>IF($BB47="","",IF(U$6=$BJ47,"◆",IF(AND(U$6&gt;=$BF47,U$6&lt;=$BG47),IF(AND(U$6&gt;=$BD47,U$6&lt;=$BE47),"実","外"),IF(AND(U$6&gt;=$BD47,U$6&lt;=$BE47),"計",IF(AND(U$6&gt;=$BH47,U$6&lt;=$BI47),"遅","")))))</f>
        <v/>
      </c>
      <c r="V47" s="93" t="str">
        <f>IF($BB47="","",IF(V$6=$BJ47,"◆",IF(AND(V$6&gt;=$BF47,V$6&lt;=$BG47),IF(AND(V$6&gt;=$BD47,V$6&lt;=$BE47),"実","外"),IF(AND(V$6&gt;=$BD47,V$6&lt;=$BE47),"計",IF(AND(V$6&gt;=$BH47,V$6&lt;=$BI47),"遅","")))))</f>
        <v/>
      </c>
      <c r="W47" s="93" t="str">
        <f>IF($BB47="","",IF(W$6=$BJ47,"◆",IF(AND(W$6&gt;=$BF47,W$6&lt;=$BG47),IF(AND(W$6&gt;=$BD47,W$6&lt;=$BE47),"実","外"),IF(AND(W$6&gt;=$BD47,W$6&lt;=$BE47),"計",IF(AND(W$6&gt;=$BH47,W$6&lt;=$BI47),"遅","")))))</f>
        <v/>
      </c>
      <c r="X47" s="93" t="str">
        <f>IF($BB47="","",IF(X$6=$BJ47,"◆",IF(AND(X$6&gt;=$BF47,X$6&lt;=$BG47),IF(AND(X$6&gt;=$BD47,X$6&lt;=$BE47),"実","外"),IF(AND(X$6&gt;=$BD47,X$6&lt;=$BE47),"計",IF(AND(X$6&gt;=$BH47,X$6&lt;=$BI47),"遅","")))))</f>
        <v/>
      </c>
      <c r="Y47" s="93" t="str">
        <f>IF($BB47="","",IF(Y$6=$BJ47,"◆",IF(AND(Y$6&gt;=$BF47,Y$6&lt;=$BG47),IF(AND(Y$6&gt;=$BD47,Y$6&lt;=$BE47),"実","外"),IF(AND(Y$6&gt;=$BD47,Y$6&lt;=$BE47),"計",IF(AND(Y$6&gt;=$BH47,Y$6&lt;=$BI47),"遅","")))))</f>
        <v/>
      </c>
      <c r="Z47" s="93" t="str">
        <f>IF($BB47="","",IF(Z$6=$BJ47,"◆",IF(AND(Z$6&gt;=$BF47,Z$6&lt;=$BG47),IF(AND(Z$6&gt;=$BD47,Z$6&lt;=$BE47),"実","外"),IF(AND(Z$6&gt;=$BD47,Z$6&lt;=$BE47),"計",IF(AND(Z$6&gt;=$BH47,Z$6&lt;=$BI47),"遅","")))))</f>
        <v/>
      </c>
      <c r="AA47" s="93" t="str">
        <f>IF($BB47="","",IF(AA$6=$BJ47,"◆",IF(AND(AA$6&gt;=$BF47,AA$6&lt;=$BG47),IF(AND(AA$6&gt;=$BD47,AA$6&lt;=$BE47),"実","外"),IF(AND(AA$6&gt;=$BD47,AA$6&lt;=$BE47),"計",IF(AND(AA$6&gt;=$BH47,AA$6&lt;=$BI47),"遅","")))))</f>
        <v/>
      </c>
      <c r="AB47" s="93" t="str">
        <f>IF($BB47="","",IF(AB$6=$BJ47,"◆",IF(AND(AB$6&gt;=$BF47,AB$6&lt;=$BG47),IF(AND(AB$6&gt;=$BD47,AB$6&lt;=$BE47),"実","外"),IF(AND(AB$6&gt;=$BD47,AB$6&lt;=$BE47),"計",IF(AND(AB$6&gt;=$BH47,AB$6&lt;=$BI47),"遅","")))))</f>
        <v/>
      </c>
      <c r="AC47" s="93" t="str">
        <f>IF($BB47="","",IF(AC$6=$BJ47,"◆",IF(AND(AC$6&gt;=$BF47,AC$6&lt;=$BG47),IF(AND(AC$6&gt;=$BD47,AC$6&lt;=$BE47),"実","外"),IF(AND(AC$6&gt;=$BD47,AC$6&lt;=$BE47),"計",IF(AND(AC$6&gt;=$BH47,AC$6&lt;=$BI47),"遅","")))))</f>
        <v/>
      </c>
      <c r="AD47" s="93" t="str">
        <f>IF($BB47="","",IF(AD$6=$BJ47,"◆",IF(AND(AD$6&gt;=$BF47,AD$6&lt;=$BG47),IF(AND(AD$6&gt;=$BD47,AD$6&lt;=$BE47),"実","外"),IF(AND(AD$6&gt;=$BD47,AD$6&lt;=$BE47),"計",IF(AND(AD$6&gt;=$BH47,AD$6&lt;=$BI47),"遅","")))))</f>
        <v/>
      </c>
      <c r="AE47" s="93" t="str">
        <f>IF($BB47="","",IF(AE$6=$BJ47,"◆",IF(AND(AE$6&gt;=$BF47,AE$6&lt;=$BG47),IF(AND(AE$6&gt;=$BD47,AE$6&lt;=$BE47),"実","外"),IF(AND(AE$6&gt;=$BD47,AE$6&lt;=$BE47),"計",IF(AND(AE$6&gt;=$BH47,AE$6&lt;=$BI47),"遅","")))))</f>
        <v/>
      </c>
      <c r="AF47" s="93" t="str">
        <f>IF($BB47="","",IF(AF$6=$BJ47,"◆",IF(AND(AF$6&gt;=$BF47,AF$6&lt;=$BG47),IF(AND(AF$6&gt;=$BD47,AF$6&lt;=$BE47),"実","外"),IF(AND(AF$6&gt;=$BD47,AF$6&lt;=$BE47),"計",IF(AND(AF$6&gt;=$BH47,AF$6&lt;=$BI47),"遅","")))))</f>
        <v/>
      </c>
      <c r="AG47" s="93" t="str">
        <f>IF($BB47="","",IF(AG$6=$BJ47,"◆",IF(AND(AG$6&gt;=$BF47,AG$6&lt;=$BG47),IF(AND(AG$6&gt;=$BD47,AG$6&lt;=$BE47),"実","外"),IF(AND(AG$6&gt;=$BD47,AG$6&lt;=$BE47),"計",IF(AND(AG$6&gt;=$BH47,AG$6&lt;=$BI47),"遅","")))))</f>
        <v/>
      </c>
      <c r="AH47" s="93" t="str">
        <f>IF($BB47="","",IF(AH$6=$BJ47,"◆",IF(AND(AH$6&gt;=$BF47,AH$6&lt;=$BG47),IF(AND(AH$6&gt;=$BD47,AH$6&lt;=$BE47),"実","外"),IF(AND(AH$6&gt;=$BD47,AH$6&lt;=$BE47),"計",IF(AND(AH$6&gt;=$BH47,AH$6&lt;=$BI47),"遅","")))))</f>
        <v/>
      </c>
      <c r="AI47" s="93" t="str">
        <f>IF($BB47="","",IF(AI$6=$BJ47,"◆",IF(AND(AI$6&gt;=$BF47,AI$6&lt;=$BG47),IF(AND(AI$6&gt;=$BD47,AI$6&lt;=$BE47),"実","外"),IF(AND(AI$6&gt;=$BD47,AI$6&lt;=$BE47),"計",IF(AND(AI$6&gt;=$BH47,AI$6&lt;=$BI47),"遅","")))))</f>
        <v/>
      </c>
      <c r="AJ47" s="93" t="str">
        <f>IF($BB47="","",IF(AJ$6=$BJ47,"◆",IF(AND(AJ$6&gt;=$BF47,AJ$6&lt;=$BG47),IF(AND(AJ$6&gt;=$BD47,AJ$6&lt;=$BE47),"実","外"),IF(AND(AJ$6&gt;=$BD47,AJ$6&lt;=$BE47),"計",IF(AND(AJ$6&gt;=$BH47,AJ$6&lt;=$BI47),"遅","")))))</f>
        <v/>
      </c>
      <c r="AK47" s="93" t="str">
        <f>IF($BB47="","",IF(AK$6=$BJ47,"◆",IF(AND(AK$6&gt;=$BF47,AK$6&lt;=$BG47),IF(AND(AK$6&gt;=$BD47,AK$6&lt;=$BE47),"実","外"),IF(AND(AK$6&gt;=$BD47,AK$6&lt;=$BE47),"計",IF(AND(AK$6&gt;=$BH47,AK$6&lt;=$BI47),"遅","")))))</f>
        <v/>
      </c>
      <c r="AL47" s="93" t="str">
        <f>IF($BB47="","",IF(AL$6=$BJ47,"◆",IF(AND(AL$6&gt;=$BF47,AL$6&lt;=$BG47),IF(AND(AL$6&gt;=$BD47,AL$6&lt;=$BE47),"実","外"),IF(AND(AL$6&gt;=$BD47,AL$6&lt;=$BE47),"計",IF(AND(AL$6&gt;=$BH47,AL$6&lt;=$BI47),"遅","")))))</f>
        <v/>
      </c>
      <c r="AM47" s="93" t="str">
        <f>IF($BB47="","",IF(AM$6=$BJ47,"◆",IF(AND(AM$6&gt;=$BF47,AM$6&lt;=$BG47),IF(AND(AM$6&gt;=$BD47,AM$6&lt;=$BE47),"実","外"),IF(AND(AM$6&gt;=$BD47,AM$6&lt;=$BE47),"計",IF(AND(AM$6&gt;=$BH47,AM$6&lt;=$BI47),"遅","")))))</f>
        <v/>
      </c>
      <c r="AN47" s="93" t="str">
        <f>IF($BB47="","",IF(AN$6=$BJ47,"◆",IF(AND(AN$6&gt;=$BF47,AN$6&lt;=$BG47),IF(AND(AN$6&gt;=$BD47,AN$6&lt;=$BE47),"実","外"),IF(AND(AN$6&gt;=$BD47,AN$6&lt;=$BE47),"計",IF(AND(AN$6&gt;=$BH47,AN$6&lt;=$BI47),"遅","")))))</f>
        <v/>
      </c>
      <c r="AO47" s="93" t="str">
        <f>IF($BB47="","",IF(AO$6=$BJ47,"◆",IF(AND(AO$6&gt;=$BF47,AO$6&lt;=$BG47),IF(AND(AO$6&gt;=$BD47,AO$6&lt;=$BE47),"実","外"),IF(AND(AO$6&gt;=$BD47,AO$6&lt;=$BE47),"計",IF(AND(AO$6&gt;=$BH47,AO$6&lt;=$BI47),"遅","")))))</f>
        <v/>
      </c>
      <c r="AP47" s="93" t="str">
        <f>IF($BB47="","",IF(AP$6=$BJ47,"◆",IF(AND(AP$6&gt;=$BF47,AP$6&lt;=$BG47),IF(AND(AP$6&gt;=$BD47,AP$6&lt;=$BE47),"実","外"),IF(AND(AP$6&gt;=$BD47,AP$6&lt;=$BE47),"計",IF(AND(AP$6&gt;=$BH47,AP$6&lt;=$BI47),"遅","")))))</f>
        <v/>
      </c>
      <c r="AQ47" s="93" t="str">
        <f>IF($BB47="","",IF(AQ$6=$BJ47,"◆",IF(AND(AQ$6&gt;=$BF47,AQ$6&lt;=$BG47),IF(AND(AQ$6&gt;=$BD47,AQ$6&lt;=$BE47),"実","外"),IF(AND(AQ$6&gt;=$BD47,AQ$6&lt;=$BE47),"計",IF(AND(AQ$6&gt;=$BH47,AQ$6&lt;=$BI47),"遅","")))))</f>
        <v/>
      </c>
      <c r="AR47" s="93" t="str">
        <f>IF($BB47="","",IF(AR$6=$BJ47,"◆",IF(AND(AR$6&gt;=$BF47,AR$6&lt;=$BG47),IF(AND(AR$6&gt;=$BD47,AR$6&lt;=$BE47),"実","外"),IF(AND(AR$6&gt;=$BD47,AR$6&lt;=$BE47),"計",IF(AND(AR$6&gt;=$BH47,AR$6&lt;=$BI47),"遅","")))))</f>
        <v/>
      </c>
      <c r="AS47" s="93" t="str">
        <f>IF($BB47="","",IF(AS$6=$BJ47,"◆",IF(AND(AS$6&gt;=$BF47,AS$6&lt;=$BG47),IF(AND(AS$6&gt;=$BD47,AS$6&lt;=$BE47),"実","外"),IF(AND(AS$6&gt;=$BD47,AS$6&lt;=$BE47),"計",IF(AND(AS$6&gt;=$BH47,AS$6&lt;=$BI47),"遅","")))))</f>
        <v/>
      </c>
      <c r="AT47" s="93" t="str">
        <f>IF($BB47="","",IF(AT$6=$BJ47,"◆",IF(AND(AT$6&gt;=$BF47,AT$6&lt;=$BG47),IF(AND(AT$6&gt;=$BD47,AT$6&lt;=$BE47),"実","外"),IF(AND(AT$6&gt;=$BD47,AT$6&lt;=$BE47),"計",IF(AND(AT$6&gt;=$BH47,AT$6&lt;=$BI47),"遅","")))))</f>
        <v/>
      </c>
      <c r="AU47" s="93" t="str">
        <f>IF($BB47="","",IF(AU$6=$BJ47,"◆",IF(AND(AU$6&gt;=$BF47,AU$6&lt;=$BG47),IF(AND(AU$6&gt;=$BD47,AU$6&lt;=$BE47),"実","外"),IF(AND(AU$6&gt;=$BD47,AU$6&lt;=$BE47),"計",IF(AND(AU$6&gt;=$BH47,AU$6&lt;=$BI47),"遅","")))))</f>
        <v/>
      </c>
      <c r="AV47" s="93" t="str">
        <f>IF($BB47="","",IF(AV$6=$BJ47,"◆",IF(AND(AV$6&gt;=$BF47,AV$6&lt;=$BG47),IF(AND(AV$6&gt;=$BD47,AV$6&lt;=$BE47),"実","外"),IF(AND(AV$6&gt;=$BD47,AV$6&lt;=$BE47),"計",IF(AND(AV$6&gt;=$BH47,AV$6&lt;=$BI47),"遅","")))))</f>
        <v/>
      </c>
      <c r="AW47" s="93" t="str">
        <f>IF($BB47="","",IF(AW$6=$BJ47,"◆",IF(AND(AW$6&gt;=$BF47,AW$6&lt;=$BG47),IF(AND(AW$6&gt;=$BD47,AW$6&lt;=$BE47),"実","外"),IF(AND(AW$6&gt;=$BD47,AW$6&lt;=$BE47),"計",IF(AND(AW$6&gt;=$BH47,AW$6&lt;=$BI47),"遅","")))))</f>
        <v/>
      </c>
      <c r="AX47" s="93" t="str">
        <f>IF($BB47="","",IF(AX$6=$BJ47,"◆",IF(AND(AX$6&gt;=$BF47,AX$6&lt;=$BG47),IF(AND(AX$6&gt;=$BD47,AX$6&lt;=$BE47),"実","外"),IF(AND(AX$6&gt;=$BD47,AX$6&lt;=$BE47),"計",IF(AND(AX$6&gt;=$BH47,AX$6&lt;=$BI47),"遅","")))))</f>
        <v/>
      </c>
      <c r="AY47" s="93" t="str">
        <f>IF($BB47="","",IF(AY$6=$BJ47,"◆",IF(AND(AY$6&gt;=$BF47,AY$6&lt;=$BG47),IF(AND(AY$6&gt;=$BD47,AY$6&lt;=$BE47),"実","外"),IF(AND(AY$6&gt;=$BD47,AY$6&lt;=$BE47),"計",IF(AND(AY$6&gt;=$BH47,AY$6&lt;=$BI47),"遅","")))))</f>
        <v/>
      </c>
      <c r="AZ47" s="93" t="str">
        <f>IF($BB47="","",IF(AZ$6=$BJ47,"◆",IF(AND(AZ$6&gt;=$BF47,AZ$6&lt;=$BG47),IF(AND(AZ$6&gt;=$BD47,AZ$6&lt;=$BE47),"実","外"),IF(AND(AZ$6&gt;=$BD47,AZ$6&lt;=$BE47),"計",IF(AND(AZ$6&gt;=$BH47,AZ$6&lt;=$BI47),"遅","")))))</f>
        <v/>
      </c>
      <c r="BB47" t="str">
        <f>IF(40&gt;COUNTIF(tblSteps[日別対象],1),"",IFERROR(MATCH(40,tblSteps[日別順位],0),""))</f>
        <v/>
      </c>
      <c r="BC47" t="str">
        <f>IF($BB47="","",INDEX(tblSteps[案件ID],$BB47)&amp;"")</f>
        <v/>
      </c>
      <c r="BD47" t="str">
        <f>IF($BB47="","",INDEX(tblSteps[計開],$BB47))</f>
        <v/>
      </c>
      <c r="BE47" t="str">
        <f>IF($BB47="","",INDEX(tblSteps[計終],$BB47))</f>
        <v/>
      </c>
      <c r="BF47" t="str">
        <f>IF($BB47="","",INDEX(tblSteps[実開],$BB47))</f>
        <v/>
      </c>
      <c r="BG47" t="str">
        <f>IF($BB47="","",INDEX(tblSteps[実終],$BB47))</f>
        <v/>
      </c>
      <c r="BH47" t="str">
        <f>IF($BB47="","",INDEX(tblSteps[遅開],$BB47))</f>
        <v/>
      </c>
      <c r="BI47" t="str">
        <f>IF($BB47="","",INDEX(tblSteps[遅終],$BB47))</f>
        <v/>
      </c>
      <c r="BJ47" t="str">
        <f>IF($BB47="","",INDEX(tblSteps[納期値],$BB47))</f>
        <v/>
      </c>
    </row>
    <row r="48" ht="18" customHeight="1">
      <c r="A48" s="89" t="str">
        <f>IF($BB48="","",INDEX(tblSteps[工程ID],$BB48)&amp;"")</f>
        <v/>
      </c>
      <c r="B48" s="88" t="str">
        <f>IF($BB48="","",IF($BC48=$BC47,"",$BC48&amp;" "&amp;INDEX(tblSteps[案件名],$BB48)))</f>
        <v/>
      </c>
      <c r="C48" s="88" t="str">
        <f>IF($BB48="","",INDEX(tblSteps[工程名],$BB48)&amp;"")</f>
        <v/>
      </c>
      <c r="D48" s="89" t="str">
        <f>IF($BB48="","",INDEX(tblSteps[担当],$BB48)&amp;"")</f>
        <v/>
      </c>
      <c r="E48" s="89" t="str">
        <f>IF($BB48="","",INDEX(tblSteps[状態],$BB48)&amp;"")</f>
        <v/>
      </c>
      <c r="F48" s="90" t="str">
        <f>IF($BB48="","",IF(ISNUMBER(INDEX(tblSteps[進捗率],$BB48)),INDEX(tblSteps[進捗率],$BB48),""))</f>
        <v/>
      </c>
      <c r="G48" s="91" t="str">
        <f>IF($BB48="","",IF(ISNUMBER(INDEX(tblSteps[計画開始日],$BB48)),INDEX(tblSteps[計画開始日],$BB48),"未入力"))</f>
        <v/>
      </c>
      <c r="H48" s="91" t="str">
        <f>IF($BB48="","",IF(ISNUMBER(INDEX(tblSteps[計画終了日],$BB48)),INDEX(tblSteps[計画終了日],$BB48),"未入力"))</f>
        <v/>
      </c>
      <c r="I48" s="91" t="str">
        <f>IF($BB48="","",IF(ISNUMBER(INDEX(tblSteps[完了見込日],$BB48)),INDEX(tblSteps[完了見込日],$BB48),""))</f>
        <v/>
      </c>
      <c r="J48" s="92" t="str">
        <f>IF($BB48="","",INDEX(tblSteps[注意短],$BB48)&amp;"")</f>
        <v/>
      </c>
      <c r="K48" s="93" t="str">
        <f>IF($BB48="","",IF(K$6=$BJ48,"◆",IF(AND(K$6&gt;=$BF48,K$6&lt;=$BG48),IF(AND(K$6&gt;=$BD48,K$6&lt;=$BE48),"実","外"),IF(AND(K$6&gt;=$BD48,K$6&lt;=$BE48),"計",IF(AND(K$6&gt;=$BH48,K$6&lt;=$BI48),"遅","")))))</f>
        <v/>
      </c>
      <c r="L48" s="93" t="str">
        <f>IF($BB48="","",IF(L$6=$BJ48,"◆",IF(AND(L$6&gt;=$BF48,L$6&lt;=$BG48),IF(AND(L$6&gt;=$BD48,L$6&lt;=$BE48),"実","外"),IF(AND(L$6&gt;=$BD48,L$6&lt;=$BE48),"計",IF(AND(L$6&gt;=$BH48,L$6&lt;=$BI48),"遅","")))))</f>
        <v/>
      </c>
      <c r="M48" s="93" t="str">
        <f>IF($BB48="","",IF(M$6=$BJ48,"◆",IF(AND(M$6&gt;=$BF48,M$6&lt;=$BG48),IF(AND(M$6&gt;=$BD48,M$6&lt;=$BE48),"実","外"),IF(AND(M$6&gt;=$BD48,M$6&lt;=$BE48),"計",IF(AND(M$6&gt;=$BH48,M$6&lt;=$BI48),"遅","")))))</f>
        <v/>
      </c>
      <c r="N48" s="93" t="str">
        <f>IF($BB48="","",IF(N$6=$BJ48,"◆",IF(AND(N$6&gt;=$BF48,N$6&lt;=$BG48),IF(AND(N$6&gt;=$BD48,N$6&lt;=$BE48),"実","外"),IF(AND(N$6&gt;=$BD48,N$6&lt;=$BE48),"計",IF(AND(N$6&gt;=$BH48,N$6&lt;=$BI48),"遅","")))))</f>
        <v/>
      </c>
      <c r="O48" s="93" t="str">
        <f>IF($BB48="","",IF(O$6=$BJ48,"◆",IF(AND(O$6&gt;=$BF48,O$6&lt;=$BG48),IF(AND(O$6&gt;=$BD48,O$6&lt;=$BE48),"実","外"),IF(AND(O$6&gt;=$BD48,O$6&lt;=$BE48),"計",IF(AND(O$6&gt;=$BH48,O$6&lt;=$BI48),"遅","")))))</f>
        <v/>
      </c>
      <c r="P48" s="93" t="str">
        <f>IF($BB48="","",IF(P$6=$BJ48,"◆",IF(AND(P$6&gt;=$BF48,P$6&lt;=$BG48),IF(AND(P$6&gt;=$BD48,P$6&lt;=$BE48),"実","外"),IF(AND(P$6&gt;=$BD48,P$6&lt;=$BE48),"計",IF(AND(P$6&gt;=$BH48,P$6&lt;=$BI48),"遅","")))))</f>
        <v/>
      </c>
      <c r="Q48" s="93" t="str">
        <f>IF($BB48="","",IF(Q$6=$BJ48,"◆",IF(AND(Q$6&gt;=$BF48,Q$6&lt;=$BG48),IF(AND(Q$6&gt;=$BD48,Q$6&lt;=$BE48),"実","外"),IF(AND(Q$6&gt;=$BD48,Q$6&lt;=$BE48),"計",IF(AND(Q$6&gt;=$BH48,Q$6&lt;=$BI48),"遅","")))))</f>
        <v/>
      </c>
      <c r="R48" s="93" t="str">
        <f>IF($BB48="","",IF(R$6=$BJ48,"◆",IF(AND(R$6&gt;=$BF48,R$6&lt;=$BG48),IF(AND(R$6&gt;=$BD48,R$6&lt;=$BE48),"実","外"),IF(AND(R$6&gt;=$BD48,R$6&lt;=$BE48),"計",IF(AND(R$6&gt;=$BH48,R$6&lt;=$BI48),"遅","")))))</f>
        <v/>
      </c>
      <c r="S48" s="93" t="str">
        <f>IF($BB48="","",IF(S$6=$BJ48,"◆",IF(AND(S$6&gt;=$BF48,S$6&lt;=$BG48),IF(AND(S$6&gt;=$BD48,S$6&lt;=$BE48),"実","外"),IF(AND(S$6&gt;=$BD48,S$6&lt;=$BE48),"計",IF(AND(S$6&gt;=$BH48,S$6&lt;=$BI48),"遅","")))))</f>
        <v/>
      </c>
      <c r="T48" s="93" t="str">
        <f>IF($BB48="","",IF(T$6=$BJ48,"◆",IF(AND(T$6&gt;=$BF48,T$6&lt;=$BG48),IF(AND(T$6&gt;=$BD48,T$6&lt;=$BE48),"実","外"),IF(AND(T$6&gt;=$BD48,T$6&lt;=$BE48),"計",IF(AND(T$6&gt;=$BH48,T$6&lt;=$BI48),"遅","")))))</f>
        <v/>
      </c>
      <c r="U48" s="93" t="str">
        <f>IF($BB48="","",IF(U$6=$BJ48,"◆",IF(AND(U$6&gt;=$BF48,U$6&lt;=$BG48),IF(AND(U$6&gt;=$BD48,U$6&lt;=$BE48),"実","外"),IF(AND(U$6&gt;=$BD48,U$6&lt;=$BE48),"計",IF(AND(U$6&gt;=$BH48,U$6&lt;=$BI48),"遅","")))))</f>
        <v/>
      </c>
      <c r="V48" s="93" t="str">
        <f>IF($BB48="","",IF(V$6=$BJ48,"◆",IF(AND(V$6&gt;=$BF48,V$6&lt;=$BG48),IF(AND(V$6&gt;=$BD48,V$6&lt;=$BE48),"実","外"),IF(AND(V$6&gt;=$BD48,V$6&lt;=$BE48),"計",IF(AND(V$6&gt;=$BH48,V$6&lt;=$BI48),"遅","")))))</f>
        <v/>
      </c>
      <c r="W48" s="93" t="str">
        <f>IF($BB48="","",IF(W$6=$BJ48,"◆",IF(AND(W$6&gt;=$BF48,W$6&lt;=$BG48),IF(AND(W$6&gt;=$BD48,W$6&lt;=$BE48),"実","外"),IF(AND(W$6&gt;=$BD48,W$6&lt;=$BE48),"計",IF(AND(W$6&gt;=$BH48,W$6&lt;=$BI48),"遅","")))))</f>
        <v/>
      </c>
      <c r="X48" s="93" t="str">
        <f>IF($BB48="","",IF(X$6=$BJ48,"◆",IF(AND(X$6&gt;=$BF48,X$6&lt;=$BG48),IF(AND(X$6&gt;=$BD48,X$6&lt;=$BE48),"実","外"),IF(AND(X$6&gt;=$BD48,X$6&lt;=$BE48),"計",IF(AND(X$6&gt;=$BH48,X$6&lt;=$BI48),"遅","")))))</f>
        <v/>
      </c>
      <c r="Y48" s="93" t="str">
        <f>IF($BB48="","",IF(Y$6=$BJ48,"◆",IF(AND(Y$6&gt;=$BF48,Y$6&lt;=$BG48),IF(AND(Y$6&gt;=$BD48,Y$6&lt;=$BE48),"実","外"),IF(AND(Y$6&gt;=$BD48,Y$6&lt;=$BE48),"計",IF(AND(Y$6&gt;=$BH48,Y$6&lt;=$BI48),"遅","")))))</f>
        <v/>
      </c>
      <c r="Z48" s="93" t="str">
        <f>IF($BB48="","",IF(Z$6=$BJ48,"◆",IF(AND(Z$6&gt;=$BF48,Z$6&lt;=$BG48),IF(AND(Z$6&gt;=$BD48,Z$6&lt;=$BE48),"実","外"),IF(AND(Z$6&gt;=$BD48,Z$6&lt;=$BE48),"計",IF(AND(Z$6&gt;=$BH48,Z$6&lt;=$BI48),"遅","")))))</f>
        <v/>
      </c>
      <c r="AA48" s="93" t="str">
        <f>IF($BB48="","",IF(AA$6=$BJ48,"◆",IF(AND(AA$6&gt;=$BF48,AA$6&lt;=$BG48),IF(AND(AA$6&gt;=$BD48,AA$6&lt;=$BE48),"実","外"),IF(AND(AA$6&gt;=$BD48,AA$6&lt;=$BE48),"計",IF(AND(AA$6&gt;=$BH48,AA$6&lt;=$BI48),"遅","")))))</f>
        <v/>
      </c>
      <c r="AB48" s="93" t="str">
        <f>IF($BB48="","",IF(AB$6=$BJ48,"◆",IF(AND(AB$6&gt;=$BF48,AB$6&lt;=$BG48),IF(AND(AB$6&gt;=$BD48,AB$6&lt;=$BE48),"実","外"),IF(AND(AB$6&gt;=$BD48,AB$6&lt;=$BE48),"計",IF(AND(AB$6&gt;=$BH48,AB$6&lt;=$BI48),"遅","")))))</f>
        <v/>
      </c>
      <c r="AC48" s="93" t="str">
        <f>IF($BB48="","",IF(AC$6=$BJ48,"◆",IF(AND(AC$6&gt;=$BF48,AC$6&lt;=$BG48),IF(AND(AC$6&gt;=$BD48,AC$6&lt;=$BE48),"実","外"),IF(AND(AC$6&gt;=$BD48,AC$6&lt;=$BE48),"計",IF(AND(AC$6&gt;=$BH48,AC$6&lt;=$BI48),"遅","")))))</f>
        <v/>
      </c>
      <c r="AD48" s="93" t="str">
        <f>IF($BB48="","",IF(AD$6=$BJ48,"◆",IF(AND(AD$6&gt;=$BF48,AD$6&lt;=$BG48),IF(AND(AD$6&gt;=$BD48,AD$6&lt;=$BE48),"実","外"),IF(AND(AD$6&gt;=$BD48,AD$6&lt;=$BE48),"計",IF(AND(AD$6&gt;=$BH48,AD$6&lt;=$BI48),"遅","")))))</f>
        <v/>
      </c>
      <c r="AE48" s="93" t="str">
        <f>IF($BB48="","",IF(AE$6=$BJ48,"◆",IF(AND(AE$6&gt;=$BF48,AE$6&lt;=$BG48),IF(AND(AE$6&gt;=$BD48,AE$6&lt;=$BE48),"実","外"),IF(AND(AE$6&gt;=$BD48,AE$6&lt;=$BE48),"計",IF(AND(AE$6&gt;=$BH48,AE$6&lt;=$BI48),"遅","")))))</f>
        <v/>
      </c>
      <c r="AF48" s="93" t="str">
        <f>IF($BB48="","",IF(AF$6=$BJ48,"◆",IF(AND(AF$6&gt;=$BF48,AF$6&lt;=$BG48),IF(AND(AF$6&gt;=$BD48,AF$6&lt;=$BE48),"実","外"),IF(AND(AF$6&gt;=$BD48,AF$6&lt;=$BE48),"計",IF(AND(AF$6&gt;=$BH48,AF$6&lt;=$BI48),"遅","")))))</f>
        <v/>
      </c>
      <c r="AG48" s="93" t="str">
        <f>IF($BB48="","",IF(AG$6=$BJ48,"◆",IF(AND(AG$6&gt;=$BF48,AG$6&lt;=$BG48),IF(AND(AG$6&gt;=$BD48,AG$6&lt;=$BE48),"実","外"),IF(AND(AG$6&gt;=$BD48,AG$6&lt;=$BE48),"計",IF(AND(AG$6&gt;=$BH48,AG$6&lt;=$BI48),"遅","")))))</f>
        <v/>
      </c>
      <c r="AH48" s="93" t="str">
        <f>IF($BB48="","",IF(AH$6=$BJ48,"◆",IF(AND(AH$6&gt;=$BF48,AH$6&lt;=$BG48),IF(AND(AH$6&gt;=$BD48,AH$6&lt;=$BE48),"実","外"),IF(AND(AH$6&gt;=$BD48,AH$6&lt;=$BE48),"計",IF(AND(AH$6&gt;=$BH48,AH$6&lt;=$BI48),"遅","")))))</f>
        <v/>
      </c>
      <c r="AI48" s="93" t="str">
        <f>IF($BB48="","",IF(AI$6=$BJ48,"◆",IF(AND(AI$6&gt;=$BF48,AI$6&lt;=$BG48),IF(AND(AI$6&gt;=$BD48,AI$6&lt;=$BE48),"実","外"),IF(AND(AI$6&gt;=$BD48,AI$6&lt;=$BE48),"計",IF(AND(AI$6&gt;=$BH48,AI$6&lt;=$BI48),"遅","")))))</f>
        <v/>
      </c>
      <c r="AJ48" s="93" t="str">
        <f>IF($BB48="","",IF(AJ$6=$BJ48,"◆",IF(AND(AJ$6&gt;=$BF48,AJ$6&lt;=$BG48),IF(AND(AJ$6&gt;=$BD48,AJ$6&lt;=$BE48),"実","外"),IF(AND(AJ$6&gt;=$BD48,AJ$6&lt;=$BE48),"計",IF(AND(AJ$6&gt;=$BH48,AJ$6&lt;=$BI48),"遅","")))))</f>
        <v/>
      </c>
      <c r="AK48" s="93" t="str">
        <f>IF($BB48="","",IF(AK$6=$BJ48,"◆",IF(AND(AK$6&gt;=$BF48,AK$6&lt;=$BG48),IF(AND(AK$6&gt;=$BD48,AK$6&lt;=$BE48),"実","外"),IF(AND(AK$6&gt;=$BD48,AK$6&lt;=$BE48),"計",IF(AND(AK$6&gt;=$BH48,AK$6&lt;=$BI48),"遅","")))))</f>
        <v/>
      </c>
      <c r="AL48" s="93" t="str">
        <f>IF($BB48="","",IF(AL$6=$BJ48,"◆",IF(AND(AL$6&gt;=$BF48,AL$6&lt;=$BG48),IF(AND(AL$6&gt;=$BD48,AL$6&lt;=$BE48),"実","外"),IF(AND(AL$6&gt;=$BD48,AL$6&lt;=$BE48),"計",IF(AND(AL$6&gt;=$BH48,AL$6&lt;=$BI48),"遅","")))))</f>
        <v/>
      </c>
      <c r="AM48" s="93" t="str">
        <f>IF($BB48="","",IF(AM$6=$BJ48,"◆",IF(AND(AM$6&gt;=$BF48,AM$6&lt;=$BG48),IF(AND(AM$6&gt;=$BD48,AM$6&lt;=$BE48),"実","外"),IF(AND(AM$6&gt;=$BD48,AM$6&lt;=$BE48),"計",IF(AND(AM$6&gt;=$BH48,AM$6&lt;=$BI48),"遅","")))))</f>
        <v/>
      </c>
      <c r="AN48" s="93" t="str">
        <f>IF($BB48="","",IF(AN$6=$BJ48,"◆",IF(AND(AN$6&gt;=$BF48,AN$6&lt;=$BG48),IF(AND(AN$6&gt;=$BD48,AN$6&lt;=$BE48),"実","外"),IF(AND(AN$6&gt;=$BD48,AN$6&lt;=$BE48),"計",IF(AND(AN$6&gt;=$BH48,AN$6&lt;=$BI48),"遅","")))))</f>
        <v/>
      </c>
      <c r="AO48" s="93" t="str">
        <f>IF($BB48="","",IF(AO$6=$BJ48,"◆",IF(AND(AO$6&gt;=$BF48,AO$6&lt;=$BG48),IF(AND(AO$6&gt;=$BD48,AO$6&lt;=$BE48),"実","外"),IF(AND(AO$6&gt;=$BD48,AO$6&lt;=$BE48),"計",IF(AND(AO$6&gt;=$BH48,AO$6&lt;=$BI48),"遅","")))))</f>
        <v/>
      </c>
      <c r="AP48" s="93" t="str">
        <f>IF($BB48="","",IF(AP$6=$BJ48,"◆",IF(AND(AP$6&gt;=$BF48,AP$6&lt;=$BG48),IF(AND(AP$6&gt;=$BD48,AP$6&lt;=$BE48),"実","外"),IF(AND(AP$6&gt;=$BD48,AP$6&lt;=$BE48),"計",IF(AND(AP$6&gt;=$BH48,AP$6&lt;=$BI48),"遅","")))))</f>
        <v/>
      </c>
      <c r="AQ48" s="93" t="str">
        <f>IF($BB48="","",IF(AQ$6=$BJ48,"◆",IF(AND(AQ$6&gt;=$BF48,AQ$6&lt;=$BG48),IF(AND(AQ$6&gt;=$BD48,AQ$6&lt;=$BE48),"実","外"),IF(AND(AQ$6&gt;=$BD48,AQ$6&lt;=$BE48),"計",IF(AND(AQ$6&gt;=$BH48,AQ$6&lt;=$BI48),"遅","")))))</f>
        <v/>
      </c>
      <c r="AR48" s="93" t="str">
        <f>IF($BB48="","",IF(AR$6=$BJ48,"◆",IF(AND(AR$6&gt;=$BF48,AR$6&lt;=$BG48),IF(AND(AR$6&gt;=$BD48,AR$6&lt;=$BE48),"実","外"),IF(AND(AR$6&gt;=$BD48,AR$6&lt;=$BE48),"計",IF(AND(AR$6&gt;=$BH48,AR$6&lt;=$BI48),"遅","")))))</f>
        <v/>
      </c>
      <c r="AS48" s="93" t="str">
        <f>IF($BB48="","",IF(AS$6=$BJ48,"◆",IF(AND(AS$6&gt;=$BF48,AS$6&lt;=$BG48),IF(AND(AS$6&gt;=$BD48,AS$6&lt;=$BE48),"実","外"),IF(AND(AS$6&gt;=$BD48,AS$6&lt;=$BE48),"計",IF(AND(AS$6&gt;=$BH48,AS$6&lt;=$BI48),"遅","")))))</f>
        <v/>
      </c>
      <c r="AT48" s="93" t="str">
        <f>IF($BB48="","",IF(AT$6=$BJ48,"◆",IF(AND(AT$6&gt;=$BF48,AT$6&lt;=$BG48),IF(AND(AT$6&gt;=$BD48,AT$6&lt;=$BE48),"実","外"),IF(AND(AT$6&gt;=$BD48,AT$6&lt;=$BE48),"計",IF(AND(AT$6&gt;=$BH48,AT$6&lt;=$BI48),"遅","")))))</f>
        <v/>
      </c>
      <c r="AU48" s="93" t="str">
        <f>IF($BB48="","",IF(AU$6=$BJ48,"◆",IF(AND(AU$6&gt;=$BF48,AU$6&lt;=$BG48),IF(AND(AU$6&gt;=$BD48,AU$6&lt;=$BE48),"実","外"),IF(AND(AU$6&gt;=$BD48,AU$6&lt;=$BE48),"計",IF(AND(AU$6&gt;=$BH48,AU$6&lt;=$BI48),"遅","")))))</f>
        <v/>
      </c>
      <c r="AV48" s="93" t="str">
        <f>IF($BB48="","",IF(AV$6=$BJ48,"◆",IF(AND(AV$6&gt;=$BF48,AV$6&lt;=$BG48),IF(AND(AV$6&gt;=$BD48,AV$6&lt;=$BE48),"実","外"),IF(AND(AV$6&gt;=$BD48,AV$6&lt;=$BE48),"計",IF(AND(AV$6&gt;=$BH48,AV$6&lt;=$BI48),"遅","")))))</f>
        <v/>
      </c>
      <c r="AW48" s="93" t="str">
        <f>IF($BB48="","",IF(AW$6=$BJ48,"◆",IF(AND(AW$6&gt;=$BF48,AW$6&lt;=$BG48),IF(AND(AW$6&gt;=$BD48,AW$6&lt;=$BE48),"実","外"),IF(AND(AW$6&gt;=$BD48,AW$6&lt;=$BE48),"計",IF(AND(AW$6&gt;=$BH48,AW$6&lt;=$BI48),"遅","")))))</f>
        <v/>
      </c>
      <c r="AX48" s="93" t="str">
        <f>IF($BB48="","",IF(AX$6=$BJ48,"◆",IF(AND(AX$6&gt;=$BF48,AX$6&lt;=$BG48),IF(AND(AX$6&gt;=$BD48,AX$6&lt;=$BE48),"実","外"),IF(AND(AX$6&gt;=$BD48,AX$6&lt;=$BE48),"計",IF(AND(AX$6&gt;=$BH48,AX$6&lt;=$BI48),"遅","")))))</f>
        <v/>
      </c>
      <c r="AY48" s="93" t="str">
        <f>IF($BB48="","",IF(AY$6=$BJ48,"◆",IF(AND(AY$6&gt;=$BF48,AY$6&lt;=$BG48),IF(AND(AY$6&gt;=$BD48,AY$6&lt;=$BE48),"実","外"),IF(AND(AY$6&gt;=$BD48,AY$6&lt;=$BE48),"計",IF(AND(AY$6&gt;=$BH48,AY$6&lt;=$BI48),"遅","")))))</f>
        <v/>
      </c>
      <c r="AZ48" s="93" t="str">
        <f>IF($BB48="","",IF(AZ$6=$BJ48,"◆",IF(AND(AZ$6&gt;=$BF48,AZ$6&lt;=$BG48),IF(AND(AZ$6&gt;=$BD48,AZ$6&lt;=$BE48),"実","外"),IF(AND(AZ$6&gt;=$BD48,AZ$6&lt;=$BE48),"計",IF(AND(AZ$6&gt;=$BH48,AZ$6&lt;=$BI48),"遅","")))))</f>
        <v/>
      </c>
      <c r="BB48" t="str">
        <f>IF(41&gt;COUNTIF(tblSteps[日別対象],1),"",IFERROR(MATCH(41,tblSteps[日別順位],0),""))</f>
        <v/>
      </c>
      <c r="BC48" t="str">
        <f>IF($BB48="","",INDEX(tblSteps[案件ID],$BB48)&amp;"")</f>
        <v/>
      </c>
      <c r="BD48" t="str">
        <f>IF($BB48="","",INDEX(tblSteps[計開],$BB48))</f>
        <v/>
      </c>
      <c r="BE48" t="str">
        <f>IF($BB48="","",INDEX(tblSteps[計終],$BB48))</f>
        <v/>
      </c>
      <c r="BF48" t="str">
        <f>IF($BB48="","",INDEX(tblSteps[実開],$BB48))</f>
        <v/>
      </c>
      <c r="BG48" t="str">
        <f>IF($BB48="","",INDEX(tblSteps[実終],$BB48))</f>
        <v/>
      </c>
      <c r="BH48" t="str">
        <f>IF($BB48="","",INDEX(tblSteps[遅開],$BB48))</f>
        <v/>
      </c>
      <c r="BI48" t="str">
        <f>IF($BB48="","",INDEX(tblSteps[遅終],$BB48))</f>
        <v/>
      </c>
      <c r="BJ48" t="str">
        <f>IF($BB48="","",INDEX(tblSteps[納期値],$BB48))</f>
        <v/>
      </c>
    </row>
    <row r="49" ht="18" customHeight="1">
      <c r="A49" s="89" t="str">
        <f>IF($BB49="","",INDEX(tblSteps[工程ID],$BB49)&amp;"")</f>
        <v/>
      </c>
      <c r="B49" s="88" t="str">
        <f>IF($BB49="","",IF($BC49=$BC48,"",$BC49&amp;" "&amp;INDEX(tblSteps[案件名],$BB49)))</f>
        <v/>
      </c>
      <c r="C49" s="88" t="str">
        <f>IF($BB49="","",INDEX(tblSteps[工程名],$BB49)&amp;"")</f>
        <v/>
      </c>
      <c r="D49" s="89" t="str">
        <f>IF($BB49="","",INDEX(tblSteps[担当],$BB49)&amp;"")</f>
        <v/>
      </c>
      <c r="E49" s="89" t="str">
        <f>IF($BB49="","",INDEX(tblSteps[状態],$BB49)&amp;"")</f>
        <v/>
      </c>
      <c r="F49" s="90" t="str">
        <f>IF($BB49="","",IF(ISNUMBER(INDEX(tblSteps[進捗率],$BB49)),INDEX(tblSteps[進捗率],$BB49),""))</f>
        <v/>
      </c>
      <c r="G49" s="91" t="str">
        <f>IF($BB49="","",IF(ISNUMBER(INDEX(tblSteps[計画開始日],$BB49)),INDEX(tblSteps[計画開始日],$BB49),"未入力"))</f>
        <v/>
      </c>
      <c r="H49" s="91" t="str">
        <f>IF($BB49="","",IF(ISNUMBER(INDEX(tblSteps[計画終了日],$BB49)),INDEX(tblSteps[計画終了日],$BB49),"未入力"))</f>
        <v/>
      </c>
      <c r="I49" s="91" t="str">
        <f>IF($BB49="","",IF(ISNUMBER(INDEX(tblSteps[完了見込日],$BB49)),INDEX(tblSteps[完了見込日],$BB49),""))</f>
        <v/>
      </c>
      <c r="J49" s="92" t="str">
        <f>IF($BB49="","",INDEX(tblSteps[注意短],$BB49)&amp;"")</f>
        <v/>
      </c>
      <c r="K49" s="93" t="str">
        <f>IF($BB49="","",IF(K$6=$BJ49,"◆",IF(AND(K$6&gt;=$BF49,K$6&lt;=$BG49),IF(AND(K$6&gt;=$BD49,K$6&lt;=$BE49),"実","外"),IF(AND(K$6&gt;=$BD49,K$6&lt;=$BE49),"計",IF(AND(K$6&gt;=$BH49,K$6&lt;=$BI49),"遅","")))))</f>
        <v/>
      </c>
      <c r="L49" s="93" t="str">
        <f>IF($BB49="","",IF(L$6=$BJ49,"◆",IF(AND(L$6&gt;=$BF49,L$6&lt;=$BG49),IF(AND(L$6&gt;=$BD49,L$6&lt;=$BE49),"実","外"),IF(AND(L$6&gt;=$BD49,L$6&lt;=$BE49),"計",IF(AND(L$6&gt;=$BH49,L$6&lt;=$BI49),"遅","")))))</f>
        <v/>
      </c>
      <c r="M49" s="93" t="str">
        <f>IF($BB49="","",IF(M$6=$BJ49,"◆",IF(AND(M$6&gt;=$BF49,M$6&lt;=$BG49),IF(AND(M$6&gt;=$BD49,M$6&lt;=$BE49),"実","外"),IF(AND(M$6&gt;=$BD49,M$6&lt;=$BE49),"計",IF(AND(M$6&gt;=$BH49,M$6&lt;=$BI49),"遅","")))))</f>
        <v/>
      </c>
      <c r="N49" s="93" t="str">
        <f>IF($BB49="","",IF(N$6=$BJ49,"◆",IF(AND(N$6&gt;=$BF49,N$6&lt;=$BG49),IF(AND(N$6&gt;=$BD49,N$6&lt;=$BE49),"実","外"),IF(AND(N$6&gt;=$BD49,N$6&lt;=$BE49),"計",IF(AND(N$6&gt;=$BH49,N$6&lt;=$BI49),"遅","")))))</f>
        <v/>
      </c>
      <c r="O49" s="93" t="str">
        <f>IF($BB49="","",IF(O$6=$BJ49,"◆",IF(AND(O$6&gt;=$BF49,O$6&lt;=$BG49),IF(AND(O$6&gt;=$BD49,O$6&lt;=$BE49),"実","外"),IF(AND(O$6&gt;=$BD49,O$6&lt;=$BE49),"計",IF(AND(O$6&gt;=$BH49,O$6&lt;=$BI49),"遅","")))))</f>
        <v/>
      </c>
      <c r="P49" s="93" t="str">
        <f>IF($BB49="","",IF(P$6=$BJ49,"◆",IF(AND(P$6&gt;=$BF49,P$6&lt;=$BG49),IF(AND(P$6&gt;=$BD49,P$6&lt;=$BE49),"実","外"),IF(AND(P$6&gt;=$BD49,P$6&lt;=$BE49),"計",IF(AND(P$6&gt;=$BH49,P$6&lt;=$BI49),"遅","")))))</f>
        <v/>
      </c>
      <c r="Q49" s="93" t="str">
        <f>IF($BB49="","",IF(Q$6=$BJ49,"◆",IF(AND(Q$6&gt;=$BF49,Q$6&lt;=$BG49),IF(AND(Q$6&gt;=$BD49,Q$6&lt;=$BE49),"実","外"),IF(AND(Q$6&gt;=$BD49,Q$6&lt;=$BE49),"計",IF(AND(Q$6&gt;=$BH49,Q$6&lt;=$BI49),"遅","")))))</f>
        <v/>
      </c>
      <c r="R49" s="93" t="str">
        <f>IF($BB49="","",IF(R$6=$BJ49,"◆",IF(AND(R$6&gt;=$BF49,R$6&lt;=$BG49),IF(AND(R$6&gt;=$BD49,R$6&lt;=$BE49),"実","外"),IF(AND(R$6&gt;=$BD49,R$6&lt;=$BE49),"計",IF(AND(R$6&gt;=$BH49,R$6&lt;=$BI49),"遅","")))))</f>
        <v/>
      </c>
      <c r="S49" s="93" t="str">
        <f>IF($BB49="","",IF(S$6=$BJ49,"◆",IF(AND(S$6&gt;=$BF49,S$6&lt;=$BG49),IF(AND(S$6&gt;=$BD49,S$6&lt;=$BE49),"実","外"),IF(AND(S$6&gt;=$BD49,S$6&lt;=$BE49),"計",IF(AND(S$6&gt;=$BH49,S$6&lt;=$BI49),"遅","")))))</f>
        <v/>
      </c>
      <c r="T49" s="93" t="str">
        <f>IF($BB49="","",IF(T$6=$BJ49,"◆",IF(AND(T$6&gt;=$BF49,T$6&lt;=$BG49),IF(AND(T$6&gt;=$BD49,T$6&lt;=$BE49),"実","外"),IF(AND(T$6&gt;=$BD49,T$6&lt;=$BE49),"計",IF(AND(T$6&gt;=$BH49,T$6&lt;=$BI49),"遅","")))))</f>
        <v/>
      </c>
      <c r="U49" s="93" t="str">
        <f>IF($BB49="","",IF(U$6=$BJ49,"◆",IF(AND(U$6&gt;=$BF49,U$6&lt;=$BG49),IF(AND(U$6&gt;=$BD49,U$6&lt;=$BE49),"実","外"),IF(AND(U$6&gt;=$BD49,U$6&lt;=$BE49),"計",IF(AND(U$6&gt;=$BH49,U$6&lt;=$BI49),"遅","")))))</f>
        <v/>
      </c>
      <c r="V49" s="93" t="str">
        <f>IF($BB49="","",IF(V$6=$BJ49,"◆",IF(AND(V$6&gt;=$BF49,V$6&lt;=$BG49),IF(AND(V$6&gt;=$BD49,V$6&lt;=$BE49),"実","外"),IF(AND(V$6&gt;=$BD49,V$6&lt;=$BE49),"計",IF(AND(V$6&gt;=$BH49,V$6&lt;=$BI49),"遅","")))))</f>
        <v/>
      </c>
      <c r="W49" s="93" t="str">
        <f>IF($BB49="","",IF(W$6=$BJ49,"◆",IF(AND(W$6&gt;=$BF49,W$6&lt;=$BG49),IF(AND(W$6&gt;=$BD49,W$6&lt;=$BE49),"実","外"),IF(AND(W$6&gt;=$BD49,W$6&lt;=$BE49),"計",IF(AND(W$6&gt;=$BH49,W$6&lt;=$BI49),"遅","")))))</f>
        <v/>
      </c>
      <c r="X49" s="93" t="str">
        <f>IF($BB49="","",IF(X$6=$BJ49,"◆",IF(AND(X$6&gt;=$BF49,X$6&lt;=$BG49),IF(AND(X$6&gt;=$BD49,X$6&lt;=$BE49),"実","外"),IF(AND(X$6&gt;=$BD49,X$6&lt;=$BE49),"計",IF(AND(X$6&gt;=$BH49,X$6&lt;=$BI49),"遅","")))))</f>
        <v/>
      </c>
      <c r="Y49" s="93" t="str">
        <f>IF($BB49="","",IF(Y$6=$BJ49,"◆",IF(AND(Y$6&gt;=$BF49,Y$6&lt;=$BG49),IF(AND(Y$6&gt;=$BD49,Y$6&lt;=$BE49),"実","外"),IF(AND(Y$6&gt;=$BD49,Y$6&lt;=$BE49),"計",IF(AND(Y$6&gt;=$BH49,Y$6&lt;=$BI49),"遅","")))))</f>
        <v/>
      </c>
      <c r="Z49" s="93" t="str">
        <f>IF($BB49="","",IF(Z$6=$BJ49,"◆",IF(AND(Z$6&gt;=$BF49,Z$6&lt;=$BG49),IF(AND(Z$6&gt;=$BD49,Z$6&lt;=$BE49),"実","外"),IF(AND(Z$6&gt;=$BD49,Z$6&lt;=$BE49),"計",IF(AND(Z$6&gt;=$BH49,Z$6&lt;=$BI49),"遅","")))))</f>
        <v/>
      </c>
      <c r="AA49" s="93" t="str">
        <f>IF($BB49="","",IF(AA$6=$BJ49,"◆",IF(AND(AA$6&gt;=$BF49,AA$6&lt;=$BG49),IF(AND(AA$6&gt;=$BD49,AA$6&lt;=$BE49),"実","外"),IF(AND(AA$6&gt;=$BD49,AA$6&lt;=$BE49),"計",IF(AND(AA$6&gt;=$BH49,AA$6&lt;=$BI49),"遅","")))))</f>
        <v/>
      </c>
      <c r="AB49" s="93" t="str">
        <f>IF($BB49="","",IF(AB$6=$BJ49,"◆",IF(AND(AB$6&gt;=$BF49,AB$6&lt;=$BG49),IF(AND(AB$6&gt;=$BD49,AB$6&lt;=$BE49),"実","外"),IF(AND(AB$6&gt;=$BD49,AB$6&lt;=$BE49),"計",IF(AND(AB$6&gt;=$BH49,AB$6&lt;=$BI49),"遅","")))))</f>
        <v/>
      </c>
      <c r="AC49" s="93" t="str">
        <f>IF($BB49="","",IF(AC$6=$BJ49,"◆",IF(AND(AC$6&gt;=$BF49,AC$6&lt;=$BG49),IF(AND(AC$6&gt;=$BD49,AC$6&lt;=$BE49),"実","外"),IF(AND(AC$6&gt;=$BD49,AC$6&lt;=$BE49),"計",IF(AND(AC$6&gt;=$BH49,AC$6&lt;=$BI49),"遅","")))))</f>
        <v/>
      </c>
      <c r="AD49" s="93" t="str">
        <f>IF($BB49="","",IF(AD$6=$BJ49,"◆",IF(AND(AD$6&gt;=$BF49,AD$6&lt;=$BG49),IF(AND(AD$6&gt;=$BD49,AD$6&lt;=$BE49),"実","外"),IF(AND(AD$6&gt;=$BD49,AD$6&lt;=$BE49),"計",IF(AND(AD$6&gt;=$BH49,AD$6&lt;=$BI49),"遅","")))))</f>
        <v/>
      </c>
      <c r="AE49" s="93" t="str">
        <f>IF($BB49="","",IF(AE$6=$BJ49,"◆",IF(AND(AE$6&gt;=$BF49,AE$6&lt;=$BG49),IF(AND(AE$6&gt;=$BD49,AE$6&lt;=$BE49),"実","外"),IF(AND(AE$6&gt;=$BD49,AE$6&lt;=$BE49),"計",IF(AND(AE$6&gt;=$BH49,AE$6&lt;=$BI49),"遅","")))))</f>
        <v/>
      </c>
      <c r="AF49" s="93" t="str">
        <f>IF($BB49="","",IF(AF$6=$BJ49,"◆",IF(AND(AF$6&gt;=$BF49,AF$6&lt;=$BG49),IF(AND(AF$6&gt;=$BD49,AF$6&lt;=$BE49),"実","外"),IF(AND(AF$6&gt;=$BD49,AF$6&lt;=$BE49),"計",IF(AND(AF$6&gt;=$BH49,AF$6&lt;=$BI49),"遅","")))))</f>
        <v/>
      </c>
      <c r="AG49" s="93" t="str">
        <f>IF($BB49="","",IF(AG$6=$BJ49,"◆",IF(AND(AG$6&gt;=$BF49,AG$6&lt;=$BG49),IF(AND(AG$6&gt;=$BD49,AG$6&lt;=$BE49),"実","外"),IF(AND(AG$6&gt;=$BD49,AG$6&lt;=$BE49),"計",IF(AND(AG$6&gt;=$BH49,AG$6&lt;=$BI49),"遅","")))))</f>
        <v/>
      </c>
      <c r="AH49" s="93" t="str">
        <f>IF($BB49="","",IF(AH$6=$BJ49,"◆",IF(AND(AH$6&gt;=$BF49,AH$6&lt;=$BG49),IF(AND(AH$6&gt;=$BD49,AH$6&lt;=$BE49),"実","外"),IF(AND(AH$6&gt;=$BD49,AH$6&lt;=$BE49),"計",IF(AND(AH$6&gt;=$BH49,AH$6&lt;=$BI49),"遅","")))))</f>
        <v/>
      </c>
      <c r="AI49" s="93" t="str">
        <f>IF($BB49="","",IF(AI$6=$BJ49,"◆",IF(AND(AI$6&gt;=$BF49,AI$6&lt;=$BG49),IF(AND(AI$6&gt;=$BD49,AI$6&lt;=$BE49),"実","外"),IF(AND(AI$6&gt;=$BD49,AI$6&lt;=$BE49),"計",IF(AND(AI$6&gt;=$BH49,AI$6&lt;=$BI49),"遅","")))))</f>
        <v/>
      </c>
      <c r="AJ49" s="93" t="str">
        <f>IF($BB49="","",IF(AJ$6=$BJ49,"◆",IF(AND(AJ$6&gt;=$BF49,AJ$6&lt;=$BG49),IF(AND(AJ$6&gt;=$BD49,AJ$6&lt;=$BE49),"実","外"),IF(AND(AJ$6&gt;=$BD49,AJ$6&lt;=$BE49),"計",IF(AND(AJ$6&gt;=$BH49,AJ$6&lt;=$BI49),"遅","")))))</f>
        <v/>
      </c>
      <c r="AK49" s="93" t="str">
        <f>IF($BB49="","",IF(AK$6=$BJ49,"◆",IF(AND(AK$6&gt;=$BF49,AK$6&lt;=$BG49),IF(AND(AK$6&gt;=$BD49,AK$6&lt;=$BE49),"実","外"),IF(AND(AK$6&gt;=$BD49,AK$6&lt;=$BE49),"計",IF(AND(AK$6&gt;=$BH49,AK$6&lt;=$BI49),"遅","")))))</f>
        <v/>
      </c>
      <c r="AL49" s="93" t="str">
        <f>IF($BB49="","",IF(AL$6=$BJ49,"◆",IF(AND(AL$6&gt;=$BF49,AL$6&lt;=$BG49),IF(AND(AL$6&gt;=$BD49,AL$6&lt;=$BE49),"実","外"),IF(AND(AL$6&gt;=$BD49,AL$6&lt;=$BE49),"計",IF(AND(AL$6&gt;=$BH49,AL$6&lt;=$BI49),"遅","")))))</f>
        <v/>
      </c>
      <c r="AM49" s="93" t="str">
        <f>IF($BB49="","",IF(AM$6=$BJ49,"◆",IF(AND(AM$6&gt;=$BF49,AM$6&lt;=$BG49),IF(AND(AM$6&gt;=$BD49,AM$6&lt;=$BE49),"実","外"),IF(AND(AM$6&gt;=$BD49,AM$6&lt;=$BE49),"計",IF(AND(AM$6&gt;=$BH49,AM$6&lt;=$BI49),"遅","")))))</f>
        <v/>
      </c>
      <c r="AN49" s="93" t="str">
        <f>IF($BB49="","",IF(AN$6=$BJ49,"◆",IF(AND(AN$6&gt;=$BF49,AN$6&lt;=$BG49),IF(AND(AN$6&gt;=$BD49,AN$6&lt;=$BE49),"実","外"),IF(AND(AN$6&gt;=$BD49,AN$6&lt;=$BE49),"計",IF(AND(AN$6&gt;=$BH49,AN$6&lt;=$BI49),"遅","")))))</f>
        <v/>
      </c>
      <c r="AO49" s="93" t="str">
        <f>IF($BB49="","",IF(AO$6=$BJ49,"◆",IF(AND(AO$6&gt;=$BF49,AO$6&lt;=$BG49),IF(AND(AO$6&gt;=$BD49,AO$6&lt;=$BE49),"実","外"),IF(AND(AO$6&gt;=$BD49,AO$6&lt;=$BE49),"計",IF(AND(AO$6&gt;=$BH49,AO$6&lt;=$BI49),"遅","")))))</f>
        <v/>
      </c>
      <c r="AP49" s="93" t="str">
        <f>IF($BB49="","",IF(AP$6=$BJ49,"◆",IF(AND(AP$6&gt;=$BF49,AP$6&lt;=$BG49),IF(AND(AP$6&gt;=$BD49,AP$6&lt;=$BE49),"実","外"),IF(AND(AP$6&gt;=$BD49,AP$6&lt;=$BE49),"計",IF(AND(AP$6&gt;=$BH49,AP$6&lt;=$BI49),"遅","")))))</f>
        <v/>
      </c>
      <c r="AQ49" s="93" t="str">
        <f>IF($BB49="","",IF(AQ$6=$BJ49,"◆",IF(AND(AQ$6&gt;=$BF49,AQ$6&lt;=$BG49),IF(AND(AQ$6&gt;=$BD49,AQ$6&lt;=$BE49),"実","外"),IF(AND(AQ$6&gt;=$BD49,AQ$6&lt;=$BE49),"計",IF(AND(AQ$6&gt;=$BH49,AQ$6&lt;=$BI49),"遅","")))))</f>
        <v/>
      </c>
      <c r="AR49" s="93" t="str">
        <f>IF($BB49="","",IF(AR$6=$BJ49,"◆",IF(AND(AR$6&gt;=$BF49,AR$6&lt;=$BG49),IF(AND(AR$6&gt;=$BD49,AR$6&lt;=$BE49),"実","外"),IF(AND(AR$6&gt;=$BD49,AR$6&lt;=$BE49),"計",IF(AND(AR$6&gt;=$BH49,AR$6&lt;=$BI49),"遅","")))))</f>
        <v/>
      </c>
      <c r="AS49" s="93" t="str">
        <f>IF($BB49="","",IF(AS$6=$BJ49,"◆",IF(AND(AS$6&gt;=$BF49,AS$6&lt;=$BG49),IF(AND(AS$6&gt;=$BD49,AS$6&lt;=$BE49),"実","外"),IF(AND(AS$6&gt;=$BD49,AS$6&lt;=$BE49),"計",IF(AND(AS$6&gt;=$BH49,AS$6&lt;=$BI49),"遅","")))))</f>
        <v/>
      </c>
      <c r="AT49" s="93" t="str">
        <f>IF($BB49="","",IF(AT$6=$BJ49,"◆",IF(AND(AT$6&gt;=$BF49,AT$6&lt;=$BG49),IF(AND(AT$6&gt;=$BD49,AT$6&lt;=$BE49),"実","外"),IF(AND(AT$6&gt;=$BD49,AT$6&lt;=$BE49),"計",IF(AND(AT$6&gt;=$BH49,AT$6&lt;=$BI49),"遅","")))))</f>
        <v/>
      </c>
      <c r="AU49" s="93" t="str">
        <f>IF($BB49="","",IF(AU$6=$BJ49,"◆",IF(AND(AU$6&gt;=$BF49,AU$6&lt;=$BG49),IF(AND(AU$6&gt;=$BD49,AU$6&lt;=$BE49),"実","外"),IF(AND(AU$6&gt;=$BD49,AU$6&lt;=$BE49),"計",IF(AND(AU$6&gt;=$BH49,AU$6&lt;=$BI49),"遅","")))))</f>
        <v/>
      </c>
      <c r="AV49" s="93" t="str">
        <f>IF($BB49="","",IF(AV$6=$BJ49,"◆",IF(AND(AV$6&gt;=$BF49,AV$6&lt;=$BG49),IF(AND(AV$6&gt;=$BD49,AV$6&lt;=$BE49),"実","外"),IF(AND(AV$6&gt;=$BD49,AV$6&lt;=$BE49),"計",IF(AND(AV$6&gt;=$BH49,AV$6&lt;=$BI49),"遅","")))))</f>
        <v/>
      </c>
      <c r="AW49" s="93" t="str">
        <f>IF($BB49="","",IF(AW$6=$BJ49,"◆",IF(AND(AW$6&gt;=$BF49,AW$6&lt;=$BG49),IF(AND(AW$6&gt;=$BD49,AW$6&lt;=$BE49),"実","外"),IF(AND(AW$6&gt;=$BD49,AW$6&lt;=$BE49),"計",IF(AND(AW$6&gt;=$BH49,AW$6&lt;=$BI49),"遅","")))))</f>
        <v/>
      </c>
      <c r="AX49" s="93" t="str">
        <f>IF($BB49="","",IF(AX$6=$BJ49,"◆",IF(AND(AX$6&gt;=$BF49,AX$6&lt;=$BG49),IF(AND(AX$6&gt;=$BD49,AX$6&lt;=$BE49),"実","外"),IF(AND(AX$6&gt;=$BD49,AX$6&lt;=$BE49),"計",IF(AND(AX$6&gt;=$BH49,AX$6&lt;=$BI49),"遅","")))))</f>
        <v/>
      </c>
      <c r="AY49" s="93" t="str">
        <f>IF($BB49="","",IF(AY$6=$BJ49,"◆",IF(AND(AY$6&gt;=$BF49,AY$6&lt;=$BG49),IF(AND(AY$6&gt;=$BD49,AY$6&lt;=$BE49),"実","外"),IF(AND(AY$6&gt;=$BD49,AY$6&lt;=$BE49),"計",IF(AND(AY$6&gt;=$BH49,AY$6&lt;=$BI49),"遅","")))))</f>
        <v/>
      </c>
      <c r="AZ49" s="93" t="str">
        <f>IF($BB49="","",IF(AZ$6=$BJ49,"◆",IF(AND(AZ$6&gt;=$BF49,AZ$6&lt;=$BG49),IF(AND(AZ$6&gt;=$BD49,AZ$6&lt;=$BE49),"実","外"),IF(AND(AZ$6&gt;=$BD49,AZ$6&lt;=$BE49),"計",IF(AND(AZ$6&gt;=$BH49,AZ$6&lt;=$BI49),"遅","")))))</f>
        <v/>
      </c>
      <c r="BB49" t="str">
        <f>IF(42&gt;COUNTIF(tblSteps[日別対象],1),"",IFERROR(MATCH(42,tblSteps[日別順位],0),""))</f>
        <v/>
      </c>
      <c r="BC49" t="str">
        <f>IF($BB49="","",INDEX(tblSteps[案件ID],$BB49)&amp;"")</f>
        <v/>
      </c>
      <c r="BD49" t="str">
        <f>IF($BB49="","",INDEX(tblSteps[計開],$BB49))</f>
        <v/>
      </c>
      <c r="BE49" t="str">
        <f>IF($BB49="","",INDEX(tblSteps[計終],$BB49))</f>
        <v/>
      </c>
      <c r="BF49" t="str">
        <f>IF($BB49="","",INDEX(tblSteps[実開],$BB49))</f>
        <v/>
      </c>
      <c r="BG49" t="str">
        <f>IF($BB49="","",INDEX(tblSteps[実終],$BB49))</f>
        <v/>
      </c>
      <c r="BH49" t="str">
        <f>IF($BB49="","",INDEX(tblSteps[遅開],$BB49))</f>
        <v/>
      </c>
      <c r="BI49" t="str">
        <f>IF($BB49="","",INDEX(tblSteps[遅終],$BB49))</f>
        <v/>
      </c>
      <c r="BJ49" t="str">
        <f>IF($BB49="","",INDEX(tblSteps[納期値],$BB49))</f>
        <v/>
      </c>
    </row>
    <row r="50" ht="18" customHeight="1">
      <c r="A50" s="89" t="str">
        <f>IF($BB50="","",INDEX(tblSteps[工程ID],$BB50)&amp;"")</f>
        <v/>
      </c>
      <c r="B50" s="88" t="str">
        <f>IF($BB50="","",IF($BC50=$BC49,"",$BC50&amp;" "&amp;INDEX(tblSteps[案件名],$BB50)))</f>
        <v/>
      </c>
      <c r="C50" s="88" t="str">
        <f>IF($BB50="","",INDEX(tblSteps[工程名],$BB50)&amp;"")</f>
        <v/>
      </c>
      <c r="D50" s="89" t="str">
        <f>IF($BB50="","",INDEX(tblSteps[担当],$BB50)&amp;"")</f>
        <v/>
      </c>
      <c r="E50" s="89" t="str">
        <f>IF($BB50="","",INDEX(tblSteps[状態],$BB50)&amp;"")</f>
        <v/>
      </c>
      <c r="F50" s="90" t="str">
        <f>IF($BB50="","",IF(ISNUMBER(INDEX(tblSteps[進捗率],$BB50)),INDEX(tblSteps[進捗率],$BB50),""))</f>
        <v/>
      </c>
      <c r="G50" s="91" t="str">
        <f>IF($BB50="","",IF(ISNUMBER(INDEX(tblSteps[計画開始日],$BB50)),INDEX(tblSteps[計画開始日],$BB50),"未入力"))</f>
        <v/>
      </c>
      <c r="H50" s="91" t="str">
        <f>IF($BB50="","",IF(ISNUMBER(INDEX(tblSteps[計画終了日],$BB50)),INDEX(tblSteps[計画終了日],$BB50),"未入力"))</f>
        <v/>
      </c>
      <c r="I50" s="91" t="str">
        <f>IF($BB50="","",IF(ISNUMBER(INDEX(tblSteps[完了見込日],$BB50)),INDEX(tblSteps[完了見込日],$BB50),""))</f>
        <v/>
      </c>
      <c r="J50" s="92" t="str">
        <f>IF($BB50="","",INDEX(tblSteps[注意短],$BB50)&amp;"")</f>
        <v/>
      </c>
      <c r="K50" s="93" t="str">
        <f>IF($BB50="","",IF(K$6=$BJ50,"◆",IF(AND(K$6&gt;=$BF50,K$6&lt;=$BG50),IF(AND(K$6&gt;=$BD50,K$6&lt;=$BE50),"実","外"),IF(AND(K$6&gt;=$BD50,K$6&lt;=$BE50),"計",IF(AND(K$6&gt;=$BH50,K$6&lt;=$BI50),"遅","")))))</f>
        <v/>
      </c>
      <c r="L50" s="93" t="str">
        <f>IF($BB50="","",IF(L$6=$BJ50,"◆",IF(AND(L$6&gt;=$BF50,L$6&lt;=$BG50),IF(AND(L$6&gt;=$BD50,L$6&lt;=$BE50),"実","外"),IF(AND(L$6&gt;=$BD50,L$6&lt;=$BE50),"計",IF(AND(L$6&gt;=$BH50,L$6&lt;=$BI50),"遅","")))))</f>
        <v/>
      </c>
      <c r="M50" s="93" t="str">
        <f>IF($BB50="","",IF(M$6=$BJ50,"◆",IF(AND(M$6&gt;=$BF50,M$6&lt;=$BG50),IF(AND(M$6&gt;=$BD50,M$6&lt;=$BE50),"実","外"),IF(AND(M$6&gt;=$BD50,M$6&lt;=$BE50),"計",IF(AND(M$6&gt;=$BH50,M$6&lt;=$BI50),"遅","")))))</f>
        <v/>
      </c>
      <c r="N50" s="93" t="str">
        <f>IF($BB50="","",IF(N$6=$BJ50,"◆",IF(AND(N$6&gt;=$BF50,N$6&lt;=$BG50),IF(AND(N$6&gt;=$BD50,N$6&lt;=$BE50),"実","外"),IF(AND(N$6&gt;=$BD50,N$6&lt;=$BE50),"計",IF(AND(N$6&gt;=$BH50,N$6&lt;=$BI50),"遅","")))))</f>
        <v/>
      </c>
      <c r="O50" s="93" t="str">
        <f>IF($BB50="","",IF(O$6=$BJ50,"◆",IF(AND(O$6&gt;=$BF50,O$6&lt;=$BG50),IF(AND(O$6&gt;=$BD50,O$6&lt;=$BE50),"実","外"),IF(AND(O$6&gt;=$BD50,O$6&lt;=$BE50),"計",IF(AND(O$6&gt;=$BH50,O$6&lt;=$BI50),"遅","")))))</f>
        <v/>
      </c>
      <c r="P50" s="93" t="str">
        <f>IF($BB50="","",IF(P$6=$BJ50,"◆",IF(AND(P$6&gt;=$BF50,P$6&lt;=$BG50),IF(AND(P$6&gt;=$BD50,P$6&lt;=$BE50),"実","外"),IF(AND(P$6&gt;=$BD50,P$6&lt;=$BE50),"計",IF(AND(P$6&gt;=$BH50,P$6&lt;=$BI50),"遅","")))))</f>
        <v/>
      </c>
      <c r="Q50" s="93" t="str">
        <f>IF($BB50="","",IF(Q$6=$BJ50,"◆",IF(AND(Q$6&gt;=$BF50,Q$6&lt;=$BG50),IF(AND(Q$6&gt;=$BD50,Q$6&lt;=$BE50),"実","外"),IF(AND(Q$6&gt;=$BD50,Q$6&lt;=$BE50),"計",IF(AND(Q$6&gt;=$BH50,Q$6&lt;=$BI50),"遅","")))))</f>
        <v/>
      </c>
      <c r="R50" s="93" t="str">
        <f>IF($BB50="","",IF(R$6=$BJ50,"◆",IF(AND(R$6&gt;=$BF50,R$6&lt;=$BG50),IF(AND(R$6&gt;=$BD50,R$6&lt;=$BE50),"実","外"),IF(AND(R$6&gt;=$BD50,R$6&lt;=$BE50),"計",IF(AND(R$6&gt;=$BH50,R$6&lt;=$BI50),"遅","")))))</f>
        <v/>
      </c>
      <c r="S50" s="93" t="str">
        <f>IF($BB50="","",IF(S$6=$BJ50,"◆",IF(AND(S$6&gt;=$BF50,S$6&lt;=$BG50),IF(AND(S$6&gt;=$BD50,S$6&lt;=$BE50),"実","外"),IF(AND(S$6&gt;=$BD50,S$6&lt;=$BE50),"計",IF(AND(S$6&gt;=$BH50,S$6&lt;=$BI50),"遅","")))))</f>
        <v/>
      </c>
      <c r="T50" s="93" t="str">
        <f>IF($BB50="","",IF(T$6=$BJ50,"◆",IF(AND(T$6&gt;=$BF50,T$6&lt;=$BG50),IF(AND(T$6&gt;=$BD50,T$6&lt;=$BE50),"実","外"),IF(AND(T$6&gt;=$BD50,T$6&lt;=$BE50),"計",IF(AND(T$6&gt;=$BH50,T$6&lt;=$BI50),"遅","")))))</f>
        <v/>
      </c>
      <c r="U50" s="93" t="str">
        <f>IF($BB50="","",IF(U$6=$BJ50,"◆",IF(AND(U$6&gt;=$BF50,U$6&lt;=$BG50),IF(AND(U$6&gt;=$BD50,U$6&lt;=$BE50),"実","外"),IF(AND(U$6&gt;=$BD50,U$6&lt;=$BE50),"計",IF(AND(U$6&gt;=$BH50,U$6&lt;=$BI50),"遅","")))))</f>
        <v/>
      </c>
      <c r="V50" s="93" t="str">
        <f>IF($BB50="","",IF(V$6=$BJ50,"◆",IF(AND(V$6&gt;=$BF50,V$6&lt;=$BG50),IF(AND(V$6&gt;=$BD50,V$6&lt;=$BE50),"実","外"),IF(AND(V$6&gt;=$BD50,V$6&lt;=$BE50),"計",IF(AND(V$6&gt;=$BH50,V$6&lt;=$BI50),"遅","")))))</f>
        <v/>
      </c>
      <c r="W50" s="93" t="str">
        <f>IF($BB50="","",IF(W$6=$BJ50,"◆",IF(AND(W$6&gt;=$BF50,W$6&lt;=$BG50),IF(AND(W$6&gt;=$BD50,W$6&lt;=$BE50),"実","外"),IF(AND(W$6&gt;=$BD50,W$6&lt;=$BE50),"計",IF(AND(W$6&gt;=$BH50,W$6&lt;=$BI50),"遅","")))))</f>
        <v/>
      </c>
      <c r="X50" s="93" t="str">
        <f>IF($BB50="","",IF(X$6=$BJ50,"◆",IF(AND(X$6&gt;=$BF50,X$6&lt;=$BG50),IF(AND(X$6&gt;=$BD50,X$6&lt;=$BE50),"実","外"),IF(AND(X$6&gt;=$BD50,X$6&lt;=$BE50),"計",IF(AND(X$6&gt;=$BH50,X$6&lt;=$BI50),"遅","")))))</f>
        <v/>
      </c>
      <c r="Y50" s="93" t="str">
        <f>IF($BB50="","",IF(Y$6=$BJ50,"◆",IF(AND(Y$6&gt;=$BF50,Y$6&lt;=$BG50),IF(AND(Y$6&gt;=$BD50,Y$6&lt;=$BE50),"実","外"),IF(AND(Y$6&gt;=$BD50,Y$6&lt;=$BE50),"計",IF(AND(Y$6&gt;=$BH50,Y$6&lt;=$BI50),"遅","")))))</f>
        <v/>
      </c>
      <c r="Z50" s="93" t="str">
        <f>IF($BB50="","",IF(Z$6=$BJ50,"◆",IF(AND(Z$6&gt;=$BF50,Z$6&lt;=$BG50),IF(AND(Z$6&gt;=$BD50,Z$6&lt;=$BE50),"実","外"),IF(AND(Z$6&gt;=$BD50,Z$6&lt;=$BE50),"計",IF(AND(Z$6&gt;=$BH50,Z$6&lt;=$BI50),"遅","")))))</f>
        <v/>
      </c>
      <c r="AA50" s="93" t="str">
        <f>IF($BB50="","",IF(AA$6=$BJ50,"◆",IF(AND(AA$6&gt;=$BF50,AA$6&lt;=$BG50),IF(AND(AA$6&gt;=$BD50,AA$6&lt;=$BE50),"実","外"),IF(AND(AA$6&gt;=$BD50,AA$6&lt;=$BE50),"計",IF(AND(AA$6&gt;=$BH50,AA$6&lt;=$BI50),"遅","")))))</f>
        <v/>
      </c>
      <c r="AB50" s="93" t="str">
        <f>IF($BB50="","",IF(AB$6=$BJ50,"◆",IF(AND(AB$6&gt;=$BF50,AB$6&lt;=$BG50),IF(AND(AB$6&gt;=$BD50,AB$6&lt;=$BE50),"実","外"),IF(AND(AB$6&gt;=$BD50,AB$6&lt;=$BE50),"計",IF(AND(AB$6&gt;=$BH50,AB$6&lt;=$BI50),"遅","")))))</f>
        <v/>
      </c>
      <c r="AC50" s="93" t="str">
        <f>IF($BB50="","",IF(AC$6=$BJ50,"◆",IF(AND(AC$6&gt;=$BF50,AC$6&lt;=$BG50),IF(AND(AC$6&gt;=$BD50,AC$6&lt;=$BE50),"実","外"),IF(AND(AC$6&gt;=$BD50,AC$6&lt;=$BE50),"計",IF(AND(AC$6&gt;=$BH50,AC$6&lt;=$BI50),"遅","")))))</f>
        <v/>
      </c>
      <c r="AD50" s="93" t="str">
        <f>IF($BB50="","",IF(AD$6=$BJ50,"◆",IF(AND(AD$6&gt;=$BF50,AD$6&lt;=$BG50),IF(AND(AD$6&gt;=$BD50,AD$6&lt;=$BE50),"実","外"),IF(AND(AD$6&gt;=$BD50,AD$6&lt;=$BE50),"計",IF(AND(AD$6&gt;=$BH50,AD$6&lt;=$BI50),"遅","")))))</f>
        <v/>
      </c>
      <c r="AE50" s="93" t="str">
        <f>IF($BB50="","",IF(AE$6=$BJ50,"◆",IF(AND(AE$6&gt;=$BF50,AE$6&lt;=$BG50),IF(AND(AE$6&gt;=$BD50,AE$6&lt;=$BE50),"実","外"),IF(AND(AE$6&gt;=$BD50,AE$6&lt;=$BE50),"計",IF(AND(AE$6&gt;=$BH50,AE$6&lt;=$BI50),"遅","")))))</f>
        <v/>
      </c>
      <c r="AF50" s="93" t="str">
        <f>IF($BB50="","",IF(AF$6=$BJ50,"◆",IF(AND(AF$6&gt;=$BF50,AF$6&lt;=$BG50),IF(AND(AF$6&gt;=$BD50,AF$6&lt;=$BE50),"実","外"),IF(AND(AF$6&gt;=$BD50,AF$6&lt;=$BE50),"計",IF(AND(AF$6&gt;=$BH50,AF$6&lt;=$BI50),"遅","")))))</f>
        <v/>
      </c>
      <c r="AG50" s="93" t="str">
        <f>IF($BB50="","",IF(AG$6=$BJ50,"◆",IF(AND(AG$6&gt;=$BF50,AG$6&lt;=$BG50),IF(AND(AG$6&gt;=$BD50,AG$6&lt;=$BE50),"実","外"),IF(AND(AG$6&gt;=$BD50,AG$6&lt;=$BE50),"計",IF(AND(AG$6&gt;=$BH50,AG$6&lt;=$BI50),"遅","")))))</f>
        <v/>
      </c>
      <c r="AH50" s="93" t="str">
        <f>IF($BB50="","",IF(AH$6=$BJ50,"◆",IF(AND(AH$6&gt;=$BF50,AH$6&lt;=$BG50),IF(AND(AH$6&gt;=$BD50,AH$6&lt;=$BE50),"実","外"),IF(AND(AH$6&gt;=$BD50,AH$6&lt;=$BE50),"計",IF(AND(AH$6&gt;=$BH50,AH$6&lt;=$BI50),"遅","")))))</f>
        <v/>
      </c>
      <c r="AI50" s="93" t="str">
        <f>IF($BB50="","",IF(AI$6=$BJ50,"◆",IF(AND(AI$6&gt;=$BF50,AI$6&lt;=$BG50),IF(AND(AI$6&gt;=$BD50,AI$6&lt;=$BE50),"実","外"),IF(AND(AI$6&gt;=$BD50,AI$6&lt;=$BE50),"計",IF(AND(AI$6&gt;=$BH50,AI$6&lt;=$BI50),"遅","")))))</f>
        <v/>
      </c>
      <c r="AJ50" s="93" t="str">
        <f>IF($BB50="","",IF(AJ$6=$BJ50,"◆",IF(AND(AJ$6&gt;=$BF50,AJ$6&lt;=$BG50),IF(AND(AJ$6&gt;=$BD50,AJ$6&lt;=$BE50),"実","外"),IF(AND(AJ$6&gt;=$BD50,AJ$6&lt;=$BE50),"計",IF(AND(AJ$6&gt;=$BH50,AJ$6&lt;=$BI50),"遅","")))))</f>
        <v/>
      </c>
      <c r="AK50" s="93" t="str">
        <f>IF($BB50="","",IF(AK$6=$BJ50,"◆",IF(AND(AK$6&gt;=$BF50,AK$6&lt;=$BG50),IF(AND(AK$6&gt;=$BD50,AK$6&lt;=$BE50),"実","外"),IF(AND(AK$6&gt;=$BD50,AK$6&lt;=$BE50),"計",IF(AND(AK$6&gt;=$BH50,AK$6&lt;=$BI50),"遅","")))))</f>
        <v/>
      </c>
      <c r="AL50" s="93" t="str">
        <f>IF($BB50="","",IF(AL$6=$BJ50,"◆",IF(AND(AL$6&gt;=$BF50,AL$6&lt;=$BG50),IF(AND(AL$6&gt;=$BD50,AL$6&lt;=$BE50),"実","外"),IF(AND(AL$6&gt;=$BD50,AL$6&lt;=$BE50),"計",IF(AND(AL$6&gt;=$BH50,AL$6&lt;=$BI50),"遅","")))))</f>
        <v/>
      </c>
      <c r="AM50" s="93" t="str">
        <f>IF($BB50="","",IF(AM$6=$BJ50,"◆",IF(AND(AM$6&gt;=$BF50,AM$6&lt;=$BG50),IF(AND(AM$6&gt;=$BD50,AM$6&lt;=$BE50),"実","外"),IF(AND(AM$6&gt;=$BD50,AM$6&lt;=$BE50),"計",IF(AND(AM$6&gt;=$BH50,AM$6&lt;=$BI50),"遅","")))))</f>
        <v/>
      </c>
      <c r="AN50" s="93" t="str">
        <f>IF($BB50="","",IF(AN$6=$BJ50,"◆",IF(AND(AN$6&gt;=$BF50,AN$6&lt;=$BG50),IF(AND(AN$6&gt;=$BD50,AN$6&lt;=$BE50),"実","外"),IF(AND(AN$6&gt;=$BD50,AN$6&lt;=$BE50),"計",IF(AND(AN$6&gt;=$BH50,AN$6&lt;=$BI50),"遅","")))))</f>
        <v/>
      </c>
      <c r="AO50" s="93" t="str">
        <f>IF($BB50="","",IF(AO$6=$BJ50,"◆",IF(AND(AO$6&gt;=$BF50,AO$6&lt;=$BG50),IF(AND(AO$6&gt;=$BD50,AO$6&lt;=$BE50),"実","外"),IF(AND(AO$6&gt;=$BD50,AO$6&lt;=$BE50),"計",IF(AND(AO$6&gt;=$BH50,AO$6&lt;=$BI50),"遅","")))))</f>
        <v/>
      </c>
      <c r="AP50" s="93" t="str">
        <f>IF($BB50="","",IF(AP$6=$BJ50,"◆",IF(AND(AP$6&gt;=$BF50,AP$6&lt;=$BG50),IF(AND(AP$6&gt;=$BD50,AP$6&lt;=$BE50),"実","外"),IF(AND(AP$6&gt;=$BD50,AP$6&lt;=$BE50),"計",IF(AND(AP$6&gt;=$BH50,AP$6&lt;=$BI50),"遅","")))))</f>
        <v/>
      </c>
      <c r="AQ50" s="93" t="str">
        <f>IF($BB50="","",IF(AQ$6=$BJ50,"◆",IF(AND(AQ$6&gt;=$BF50,AQ$6&lt;=$BG50),IF(AND(AQ$6&gt;=$BD50,AQ$6&lt;=$BE50),"実","外"),IF(AND(AQ$6&gt;=$BD50,AQ$6&lt;=$BE50),"計",IF(AND(AQ$6&gt;=$BH50,AQ$6&lt;=$BI50),"遅","")))))</f>
        <v/>
      </c>
      <c r="AR50" s="93" t="str">
        <f>IF($BB50="","",IF(AR$6=$BJ50,"◆",IF(AND(AR$6&gt;=$BF50,AR$6&lt;=$BG50),IF(AND(AR$6&gt;=$BD50,AR$6&lt;=$BE50),"実","外"),IF(AND(AR$6&gt;=$BD50,AR$6&lt;=$BE50),"計",IF(AND(AR$6&gt;=$BH50,AR$6&lt;=$BI50),"遅","")))))</f>
        <v/>
      </c>
      <c r="AS50" s="93" t="str">
        <f>IF($BB50="","",IF(AS$6=$BJ50,"◆",IF(AND(AS$6&gt;=$BF50,AS$6&lt;=$BG50),IF(AND(AS$6&gt;=$BD50,AS$6&lt;=$BE50),"実","外"),IF(AND(AS$6&gt;=$BD50,AS$6&lt;=$BE50),"計",IF(AND(AS$6&gt;=$BH50,AS$6&lt;=$BI50),"遅","")))))</f>
        <v/>
      </c>
      <c r="AT50" s="93" t="str">
        <f>IF($BB50="","",IF(AT$6=$BJ50,"◆",IF(AND(AT$6&gt;=$BF50,AT$6&lt;=$BG50),IF(AND(AT$6&gt;=$BD50,AT$6&lt;=$BE50),"実","外"),IF(AND(AT$6&gt;=$BD50,AT$6&lt;=$BE50),"計",IF(AND(AT$6&gt;=$BH50,AT$6&lt;=$BI50),"遅","")))))</f>
        <v/>
      </c>
      <c r="AU50" s="93" t="str">
        <f>IF($BB50="","",IF(AU$6=$BJ50,"◆",IF(AND(AU$6&gt;=$BF50,AU$6&lt;=$BG50),IF(AND(AU$6&gt;=$BD50,AU$6&lt;=$BE50),"実","外"),IF(AND(AU$6&gt;=$BD50,AU$6&lt;=$BE50),"計",IF(AND(AU$6&gt;=$BH50,AU$6&lt;=$BI50),"遅","")))))</f>
        <v/>
      </c>
      <c r="AV50" s="93" t="str">
        <f>IF($BB50="","",IF(AV$6=$BJ50,"◆",IF(AND(AV$6&gt;=$BF50,AV$6&lt;=$BG50),IF(AND(AV$6&gt;=$BD50,AV$6&lt;=$BE50),"実","外"),IF(AND(AV$6&gt;=$BD50,AV$6&lt;=$BE50),"計",IF(AND(AV$6&gt;=$BH50,AV$6&lt;=$BI50),"遅","")))))</f>
        <v/>
      </c>
      <c r="AW50" s="93" t="str">
        <f>IF($BB50="","",IF(AW$6=$BJ50,"◆",IF(AND(AW$6&gt;=$BF50,AW$6&lt;=$BG50),IF(AND(AW$6&gt;=$BD50,AW$6&lt;=$BE50),"実","外"),IF(AND(AW$6&gt;=$BD50,AW$6&lt;=$BE50),"計",IF(AND(AW$6&gt;=$BH50,AW$6&lt;=$BI50),"遅","")))))</f>
        <v/>
      </c>
      <c r="AX50" s="93" t="str">
        <f>IF($BB50="","",IF(AX$6=$BJ50,"◆",IF(AND(AX$6&gt;=$BF50,AX$6&lt;=$BG50),IF(AND(AX$6&gt;=$BD50,AX$6&lt;=$BE50),"実","外"),IF(AND(AX$6&gt;=$BD50,AX$6&lt;=$BE50),"計",IF(AND(AX$6&gt;=$BH50,AX$6&lt;=$BI50),"遅","")))))</f>
        <v/>
      </c>
      <c r="AY50" s="93" t="str">
        <f>IF($BB50="","",IF(AY$6=$BJ50,"◆",IF(AND(AY$6&gt;=$BF50,AY$6&lt;=$BG50),IF(AND(AY$6&gt;=$BD50,AY$6&lt;=$BE50),"実","外"),IF(AND(AY$6&gt;=$BD50,AY$6&lt;=$BE50),"計",IF(AND(AY$6&gt;=$BH50,AY$6&lt;=$BI50),"遅","")))))</f>
        <v/>
      </c>
      <c r="AZ50" s="93" t="str">
        <f>IF($BB50="","",IF(AZ$6=$BJ50,"◆",IF(AND(AZ$6&gt;=$BF50,AZ$6&lt;=$BG50),IF(AND(AZ$6&gt;=$BD50,AZ$6&lt;=$BE50),"実","外"),IF(AND(AZ$6&gt;=$BD50,AZ$6&lt;=$BE50),"計",IF(AND(AZ$6&gt;=$BH50,AZ$6&lt;=$BI50),"遅","")))))</f>
        <v/>
      </c>
      <c r="BB50" t="str">
        <f>IF(43&gt;COUNTIF(tblSteps[日別対象],1),"",IFERROR(MATCH(43,tblSteps[日別順位],0),""))</f>
        <v/>
      </c>
      <c r="BC50" t="str">
        <f>IF($BB50="","",INDEX(tblSteps[案件ID],$BB50)&amp;"")</f>
        <v/>
      </c>
      <c r="BD50" t="str">
        <f>IF($BB50="","",INDEX(tblSteps[計開],$BB50))</f>
        <v/>
      </c>
      <c r="BE50" t="str">
        <f>IF($BB50="","",INDEX(tblSteps[計終],$BB50))</f>
        <v/>
      </c>
      <c r="BF50" t="str">
        <f>IF($BB50="","",INDEX(tblSteps[実開],$BB50))</f>
        <v/>
      </c>
      <c r="BG50" t="str">
        <f>IF($BB50="","",INDEX(tblSteps[実終],$BB50))</f>
        <v/>
      </c>
      <c r="BH50" t="str">
        <f>IF($BB50="","",INDEX(tblSteps[遅開],$BB50))</f>
        <v/>
      </c>
      <c r="BI50" t="str">
        <f>IF($BB50="","",INDEX(tblSteps[遅終],$BB50))</f>
        <v/>
      </c>
      <c r="BJ50" t="str">
        <f>IF($BB50="","",INDEX(tblSteps[納期値],$BB50))</f>
        <v/>
      </c>
    </row>
    <row r="51" ht="18" customHeight="1">
      <c r="A51" s="89" t="str">
        <f>IF($BB51="","",INDEX(tblSteps[工程ID],$BB51)&amp;"")</f>
        <v/>
      </c>
      <c r="B51" s="88" t="str">
        <f>IF($BB51="","",IF($BC51=$BC50,"",$BC51&amp;" "&amp;INDEX(tblSteps[案件名],$BB51)))</f>
        <v/>
      </c>
      <c r="C51" s="88" t="str">
        <f>IF($BB51="","",INDEX(tblSteps[工程名],$BB51)&amp;"")</f>
        <v/>
      </c>
      <c r="D51" s="89" t="str">
        <f>IF($BB51="","",INDEX(tblSteps[担当],$BB51)&amp;"")</f>
        <v/>
      </c>
      <c r="E51" s="89" t="str">
        <f>IF($BB51="","",INDEX(tblSteps[状態],$BB51)&amp;"")</f>
        <v/>
      </c>
      <c r="F51" s="90" t="str">
        <f>IF($BB51="","",IF(ISNUMBER(INDEX(tblSteps[進捗率],$BB51)),INDEX(tblSteps[進捗率],$BB51),""))</f>
        <v/>
      </c>
      <c r="G51" s="91" t="str">
        <f>IF($BB51="","",IF(ISNUMBER(INDEX(tblSteps[計画開始日],$BB51)),INDEX(tblSteps[計画開始日],$BB51),"未入力"))</f>
        <v/>
      </c>
      <c r="H51" s="91" t="str">
        <f>IF($BB51="","",IF(ISNUMBER(INDEX(tblSteps[計画終了日],$BB51)),INDEX(tblSteps[計画終了日],$BB51),"未入力"))</f>
        <v/>
      </c>
      <c r="I51" s="91" t="str">
        <f>IF($BB51="","",IF(ISNUMBER(INDEX(tblSteps[完了見込日],$BB51)),INDEX(tblSteps[完了見込日],$BB51),""))</f>
        <v/>
      </c>
      <c r="J51" s="92" t="str">
        <f>IF($BB51="","",INDEX(tblSteps[注意短],$BB51)&amp;"")</f>
        <v/>
      </c>
      <c r="K51" s="93" t="str">
        <f>IF($BB51="","",IF(K$6=$BJ51,"◆",IF(AND(K$6&gt;=$BF51,K$6&lt;=$BG51),IF(AND(K$6&gt;=$BD51,K$6&lt;=$BE51),"実","外"),IF(AND(K$6&gt;=$BD51,K$6&lt;=$BE51),"計",IF(AND(K$6&gt;=$BH51,K$6&lt;=$BI51),"遅","")))))</f>
        <v/>
      </c>
      <c r="L51" s="93" t="str">
        <f>IF($BB51="","",IF(L$6=$BJ51,"◆",IF(AND(L$6&gt;=$BF51,L$6&lt;=$BG51),IF(AND(L$6&gt;=$BD51,L$6&lt;=$BE51),"実","外"),IF(AND(L$6&gt;=$BD51,L$6&lt;=$BE51),"計",IF(AND(L$6&gt;=$BH51,L$6&lt;=$BI51),"遅","")))))</f>
        <v/>
      </c>
      <c r="M51" s="93" t="str">
        <f>IF($BB51="","",IF(M$6=$BJ51,"◆",IF(AND(M$6&gt;=$BF51,M$6&lt;=$BG51),IF(AND(M$6&gt;=$BD51,M$6&lt;=$BE51),"実","外"),IF(AND(M$6&gt;=$BD51,M$6&lt;=$BE51),"計",IF(AND(M$6&gt;=$BH51,M$6&lt;=$BI51),"遅","")))))</f>
        <v/>
      </c>
      <c r="N51" s="93" t="str">
        <f>IF($BB51="","",IF(N$6=$BJ51,"◆",IF(AND(N$6&gt;=$BF51,N$6&lt;=$BG51),IF(AND(N$6&gt;=$BD51,N$6&lt;=$BE51),"実","外"),IF(AND(N$6&gt;=$BD51,N$6&lt;=$BE51),"計",IF(AND(N$6&gt;=$BH51,N$6&lt;=$BI51),"遅","")))))</f>
        <v/>
      </c>
      <c r="O51" s="93" t="str">
        <f>IF($BB51="","",IF(O$6=$BJ51,"◆",IF(AND(O$6&gt;=$BF51,O$6&lt;=$BG51),IF(AND(O$6&gt;=$BD51,O$6&lt;=$BE51),"実","外"),IF(AND(O$6&gt;=$BD51,O$6&lt;=$BE51),"計",IF(AND(O$6&gt;=$BH51,O$6&lt;=$BI51),"遅","")))))</f>
        <v/>
      </c>
      <c r="P51" s="93" t="str">
        <f>IF($BB51="","",IF(P$6=$BJ51,"◆",IF(AND(P$6&gt;=$BF51,P$6&lt;=$BG51),IF(AND(P$6&gt;=$BD51,P$6&lt;=$BE51),"実","外"),IF(AND(P$6&gt;=$BD51,P$6&lt;=$BE51),"計",IF(AND(P$6&gt;=$BH51,P$6&lt;=$BI51),"遅","")))))</f>
        <v/>
      </c>
      <c r="Q51" s="93" t="str">
        <f>IF($BB51="","",IF(Q$6=$BJ51,"◆",IF(AND(Q$6&gt;=$BF51,Q$6&lt;=$BG51),IF(AND(Q$6&gt;=$BD51,Q$6&lt;=$BE51),"実","外"),IF(AND(Q$6&gt;=$BD51,Q$6&lt;=$BE51),"計",IF(AND(Q$6&gt;=$BH51,Q$6&lt;=$BI51),"遅","")))))</f>
        <v/>
      </c>
      <c r="R51" s="93" t="str">
        <f>IF($BB51="","",IF(R$6=$BJ51,"◆",IF(AND(R$6&gt;=$BF51,R$6&lt;=$BG51),IF(AND(R$6&gt;=$BD51,R$6&lt;=$BE51),"実","外"),IF(AND(R$6&gt;=$BD51,R$6&lt;=$BE51),"計",IF(AND(R$6&gt;=$BH51,R$6&lt;=$BI51),"遅","")))))</f>
        <v/>
      </c>
      <c r="S51" s="93" t="str">
        <f>IF($BB51="","",IF(S$6=$BJ51,"◆",IF(AND(S$6&gt;=$BF51,S$6&lt;=$BG51),IF(AND(S$6&gt;=$BD51,S$6&lt;=$BE51),"実","外"),IF(AND(S$6&gt;=$BD51,S$6&lt;=$BE51),"計",IF(AND(S$6&gt;=$BH51,S$6&lt;=$BI51),"遅","")))))</f>
        <v/>
      </c>
      <c r="T51" s="93" t="str">
        <f>IF($BB51="","",IF(T$6=$BJ51,"◆",IF(AND(T$6&gt;=$BF51,T$6&lt;=$BG51),IF(AND(T$6&gt;=$BD51,T$6&lt;=$BE51),"実","外"),IF(AND(T$6&gt;=$BD51,T$6&lt;=$BE51),"計",IF(AND(T$6&gt;=$BH51,T$6&lt;=$BI51),"遅","")))))</f>
        <v/>
      </c>
      <c r="U51" s="93" t="str">
        <f>IF($BB51="","",IF(U$6=$BJ51,"◆",IF(AND(U$6&gt;=$BF51,U$6&lt;=$BG51),IF(AND(U$6&gt;=$BD51,U$6&lt;=$BE51),"実","外"),IF(AND(U$6&gt;=$BD51,U$6&lt;=$BE51),"計",IF(AND(U$6&gt;=$BH51,U$6&lt;=$BI51),"遅","")))))</f>
        <v/>
      </c>
      <c r="V51" s="93" t="str">
        <f>IF($BB51="","",IF(V$6=$BJ51,"◆",IF(AND(V$6&gt;=$BF51,V$6&lt;=$BG51),IF(AND(V$6&gt;=$BD51,V$6&lt;=$BE51),"実","外"),IF(AND(V$6&gt;=$BD51,V$6&lt;=$BE51),"計",IF(AND(V$6&gt;=$BH51,V$6&lt;=$BI51),"遅","")))))</f>
        <v/>
      </c>
      <c r="W51" s="93" t="str">
        <f>IF($BB51="","",IF(W$6=$BJ51,"◆",IF(AND(W$6&gt;=$BF51,W$6&lt;=$BG51),IF(AND(W$6&gt;=$BD51,W$6&lt;=$BE51),"実","外"),IF(AND(W$6&gt;=$BD51,W$6&lt;=$BE51),"計",IF(AND(W$6&gt;=$BH51,W$6&lt;=$BI51),"遅","")))))</f>
        <v/>
      </c>
      <c r="X51" s="93" t="str">
        <f>IF($BB51="","",IF(X$6=$BJ51,"◆",IF(AND(X$6&gt;=$BF51,X$6&lt;=$BG51),IF(AND(X$6&gt;=$BD51,X$6&lt;=$BE51),"実","外"),IF(AND(X$6&gt;=$BD51,X$6&lt;=$BE51),"計",IF(AND(X$6&gt;=$BH51,X$6&lt;=$BI51),"遅","")))))</f>
        <v/>
      </c>
      <c r="Y51" s="93" t="str">
        <f>IF($BB51="","",IF(Y$6=$BJ51,"◆",IF(AND(Y$6&gt;=$BF51,Y$6&lt;=$BG51),IF(AND(Y$6&gt;=$BD51,Y$6&lt;=$BE51),"実","外"),IF(AND(Y$6&gt;=$BD51,Y$6&lt;=$BE51),"計",IF(AND(Y$6&gt;=$BH51,Y$6&lt;=$BI51),"遅","")))))</f>
        <v/>
      </c>
      <c r="Z51" s="93" t="str">
        <f>IF($BB51="","",IF(Z$6=$BJ51,"◆",IF(AND(Z$6&gt;=$BF51,Z$6&lt;=$BG51),IF(AND(Z$6&gt;=$BD51,Z$6&lt;=$BE51),"実","外"),IF(AND(Z$6&gt;=$BD51,Z$6&lt;=$BE51),"計",IF(AND(Z$6&gt;=$BH51,Z$6&lt;=$BI51),"遅","")))))</f>
        <v/>
      </c>
      <c r="AA51" s="93" t="str">
        <f>IF($BB51="","",IF(AA$6=$BJ51,"◆",IF(AND(AA$6&gt;=$BF51,AA$6&lt;=$BG51),IF(AND(AA$6&gt;=$BD51,AA$6&lt;=$BE51),"実","外"),IF(AND(AA$6&gt;=$BD51,AA$6&lt;=$BE51),"計",IF(AND(AA$6&gt;=$BH51,AA$6&lt;=$BI51),"遅","")))))</f>
        <v/>
      </c>
      <c r="AB51" s="93" t="str">
        <f>IF($BB51="","",IF(AB$6=$BJ51,"◆",IF(AND(AB$6&gt;=$BF51,AB$6&lt;=$BG51),IF(AND(AB$6&gt;=$BD51,AB$6&lt;=$BE51),"実","外"),IF(AND(AB$6&gt;=$BD51,AB$6&lt;=$BE51),"計",IF(AND(AB$6&gt;=$BH51,AB$6&lt;=$BI51),"遅","")))))</f>
        <v/>
      </c>
      <c r="AC51" s="93" t="str">
        <f>IF($BB51="","",IF(AC$6=$BJ51,"◆",IF(AND(AC$6&gt;=$BF51,AC$6&lt;=$BG51),IF(AND(AC$6&gt;=$BD51,AC$6&lt;=$BE51),"実","外"),IF(AND(AC$6&gt;=$BD51,AC$6&lt;=$BE51),"計",IF(AND(AC$6&gt;=$BH51,AC$6&lt;=$BI51),"遅","")))))</f>
        <v/>
      </c>
      <c r="AD51" s="93" t="str">
        <f>IF($BB51="","",IF(AD$6=$BJ51,"◆",IF(AND(AD$6&gt;=$BF51,AD$6&lt;=$BG51),IF(AND(AD$6&gt;=$BD51,AD$6&lt;=$BE51),"実","外"),IF(AND(AD$6&gt;=$BD51,AD$6&lt;=$BE51),"計",IF(AND(AD$6&gt;=$BH51,AD$6&lt;=$BI51),"遅","")))))</f>
        <v/>
      </c>
      <c r="AE51" s="93" t="str">
        <f>IF($BB51="","",IF(AE$6=$BJ51,"◆",IF(AND(AE$6&gt;=$BF51,AE$6&lt;=$BG51),IF(AND(AE$6&gt;=$BD51,AE$6&lt;=$BE51),"実","外"),IF(AND(AE$6&gt;=$BD51,AE$6&lt;=$BE51),"計",IF(AND(AE$6&gt;=$BH51,AE$6&lt;=$BI51),"遅","")))))</f>
        <v/>
      </c>
      <c r="AF51" s="93" t="str">
        <f>IF($BB51="","",IF(AF$6=$BJ51,"◆",IF(AND(AF$6&gt;=$BF51,AF$6&lt;=$BG51),IF(AND(AF$6&gt;=$BD51,AF$6&lt;=$BE51),"実","外"),IF(AND(AF$6&gt;=$BD51,AF$6&lt;=$BE51),"計",IF(AND(AF$6&gt;=$BH51,AF$6&lt;=$BI51),"遅","")))))</f>
        <v/>
      </c>
      <c r="AG51" s="93" t="str">
        <f>IF($BB51="","",IF(AG$6=$BJ51,"◆",IF(AND(AG$6&gt;=$BF51,AG$6&lt;=$BG51),IF(AND(AG$6&gt;=$BD51,AG$6&lt;=$BE51),"実","外"),IF(AND(AG$6&gt;=$BD51,AG$6&lt;=$BE51),"計",IF(AND(AG$6&gt;=$BH51,AG$6&lt;=$BI51),"遅","")))))</f>
        <v/>
      </c>
      <c r="AH51" s="93" t="str">
        <f>IF($BB51="","",IF(AH$6=$BJ51,"◆",IF(AND(AH$6&gt;=$BF51,AH$6&lt;=$BG51),IF(AND(AH$6&gt;=$BD51,AH$6&lt;=$BE51),"実","外"),IF(AND(AH$6&gt;=$BD51,AH$6&lt;=$BE51),"計",IF(AND(AH$6&gt;=$BH51,AH$6&lt;=$BI51),"遅","")))))</f>
        <v/>
      </c>
      <c r="AI51" s="93" t="str">
        <f>IF($BB51="","",IF(AI$6=$BJ51,"◆",IF(AND(AI$6&gt;=$BF51,AI$6&lt;=$BG51),IF(AND(AI$6&gt;=$BD51,AI$6&lt;=$BE51),"実","外"),IF(AND(AI$6&gt;=$BD51,AI$6&lt;=$BE51),"計",IF(AND(AI$6&gt;=$BH51,AI$6&lt;=$BI51),"遅","")))))</f>
        <v/>
      </c>
      <c r="AJ51" s="93" t="str">
        <f>IF($BB51="","",IF(AJ$6=$BJ51,"◆",IF(AND(AJ$6&gt;=$BF51,AJ$6&lt;=$BG51),IF(AND(AJ$6&gt;=$BD51,AJ$6&lt;=$BE51),"実","外"),IF(AND(AJ$6&gt;=$BD51,AJ$6&lt;=$BE51),"計",IF(AND(AJ$6&gt;=$BH51,AJ$6&lt;=$BI51),"遅","")))))</f>
        <v/>
      </c>
      <c r="AK51" s="93" t="str">
        <f>IF($BB51="","",IF(AK$6=$BJ51,"◆",IF(AND(AK$6&gt;=$BF51,AK$6&lt;=$BG51),IF(AND(AK$6&gt;=$BD51,AK$6&lt;=$BE51),"実","外"),IF(AND(AK$6&gt;=$BD51,AK$6&lt;=$BE51),"計",IF(AND(AK$6&gt;=$BH51,AK$6&lt;=$BI51),"遅","")))))</f>
        <v/>
      </c>
      <c r="AL51" s="93" t="str">
        <f>IF($BB51="","",IF(AL$6=$BJ51,"◆",IF(AND(AL$6&gt;=$BF51,AL$6&lt;=$BG51),IF(AND(AL$6&gt;=$BD51,AL$6&lt;=$BE51),"実","外"),IF(AND(AL$6&gt;=$BD51,AL$6&lt;=$BE51),"計",IF(AND(AL$6&gt;=$BH51,AL$6&lt;=$BI51),"遅","")))))</f>
        <v/>
      </c>
      <c r="AM51" s="93" t="str">
        <f>IF($BB51="","",IF(AM$6=$BJ51,"◆",IF(AND(AM$6&gt;=$BF51,AM$6&lt;=$BG51),IF(AND(AM$6&gt;=$BD51,AM$6&lt;=$BE51),"実","外"),IF(AND(AM$6&gt;=$BD51,AM$6&lt;=$BE51),"計",IF(AND(AM$6&gt;=$BH51,AM$6&lt;=$BI51),"遅","")))))</f>
        <v/>
      </c>
      <c r="AN51" s="93" t="str">
        <f>IF($BB51="","",IF(AN$6=$BJ51,"◆",IF(AND(AN$6&gt;=$BF51,AN$6&lt;=$BG51),IF(AND(AN$6&gt;=$BD51,AN$6&lt;=$BE51),"実","外"),IF(AND(AN$6&gt;=$BD51,AN$6&lt;=$BE51),"計",IF(AND(AN$6&gt;=$BH51,AN$6&lt;=$BI51),"遅","")))))</f>
        <v/>
      </c>
      <c r="AO51" s="93" t="str">
        <f>IF($BB51="","",IF(AO$6=$BJ51,"◆",IF(AND(AO$6&gt;=$BF51,AO$6&lt;=$BG51),IF(AND(AO$6&gt;=$BD51,AO$6&lt;=$BE51),"実","外"),IF(AND(AO$6&gt;=$BD51,AO$6&lt;=$BE51),"計",IF(AND(AO$6&gt;=$BH51,AO$6&lt;=$BI51),"遅","")))))</f>
        <v/>
      </c>
      <c r="AP51" s="93" t="str">
        <f>IF($BB51="","",IF(AP$6=$BJ51,"◆",IF(AND(AP$6&gt;=$BF51,AP$6&lt;=$BG51),IF(AND(AP$6&gt;=$BD51,AP$6&lt;=$BE51),"実","外"),IF(AND(AP$6&gt;=$BD51,AP$6&lt;=$BE51),"計",IF(AND(AP$6&gt;=$BH51,AP$6&lt;=$BI51),"遅","")))))</f>
        <v/>
      </c>
      <c r="AQ51" s="93" t="str">
        <f>IF($BB51="","",IF(AQ$6=$BJ51,"◆",IF(AND(AQ$6&gt;=$BF51,AQ$6&lt;=$BG51),IF(AND(AQ$6&gt;=$BD51,AQ$6&lt;=$BE51),"実","外"),IF(AND(AQ$6&gt;=$BD51,AQ$6&lt;=$BE51),"計",IF(AND(AQ$6&gt;=$BH51,AQ$6&lt;=$BI51),"遅","")))))</f>
        <v/>
      </c>
      <c r="AR51" s="93" t="str">
        <f>IF($BB51="","",IF(AR$6=$BJ51,"◆",IF(AND(AR$6&gt;=$BF51,AR$6&lt;=$BG51),IF(AND(AR$6&gt;=$BD51,AR$6&lt;=$BE51),"実","外"),IF(AND(AR$6&gt;=$BD51,AR$6&lt;=$BE51),"計",IF(AND(AR$6&gt;=$BH51,AR$6&lt;=$BI51),"遅","")))))</f>
        <v/>
      </c>
      <c r="AS51" s="93" t="str">
        <f>IF($BB51="","",IF(AS$6=$BJ51,"◆",IF(AND(AS$6&gt;=$BF51,AS$6&lt;=$BG51),IF(AND(AS$6&gt;=$BD51,AS$6&lt;=$BE51),"実","外"),IF(AND(AS$6&gt;=$BD51,AS$6&lt;=$BE51),"計",IF(AND(AS$6&gt;=$BH51,AS$6&lt;=$BI51),"遅","")))))</f>
        <v/>
      </c>
      <c r="AT51" s="93" t="str">
        <f>IF($BB51="","",IF(AT$6=$BJ51,"◆",IF(AND(AT$6&gt;=$BF51,AT$6&lt;=$BG51),IF(AND(AT$6&gt;=$BD51,AT$6&lt;=$BE51),"実","外"),IF(AND(AT$6&gt;=$BD51,AT$6&lt;=$BE51),"計",IF(AND(AT$6&gt;=$BH51,AT$6&lt;=$BI51),"遅","")))))</f>
        <v/>
      </c>
      <c r="AU51" s="93" t="str">
        <f>IF($BB51="","",IF(AU$6=$BJ51,"◆",IF(AND(AU$6&gt;=$BF51,AU$6&lt;=$BG51),IF(AND(AU$6&gt;=$BD51,AU$6&lt;=$BE51),"実","外"),IF(AND(AU$6&gt;=$BD51,AU$6&lt;=$BE51),"計",IF(AND(AU$6&gt;=$BH51,AU$6&lt;=$BI51),"遅","")))))</f>
        <v/>
      </c>
      <c r="AV51" s="93" t="str">
        <f>IF($BB51="","",IF(AV$6=$BJ51,"◆",IF(AND(AV$6&gt;=$BF51,AV$6&lt;=$BG51),IF(AND(AV$6&gt;=$BD51,AV$6&lt;=$BE51),"実","外"),IF(AND(AV$6&gt;=$BD51,AV$6&lt;=$BE51),"計",IF(AND(AV$6&gt;=$BH51,AV$6&lt;=$BI51),"遅","")))))</f>
        <v/>
      </c>
      <c r="AW51" s="93" t="str">
        <f>IF($BB51="","",IF(AW$6=$BJ51,"◆",IF(AND(AW$6&gt;=$BF51,AW$6&lt;=$BG51),IF(AND(AW$6&gt;=$BD51,AW$6&lt;=$BE51),"実","外"),IF(AND(AW$6&gt;=$BD51,AW$6&lt;=$BE51),"計",IF(AND(AW$6&gt;=$BH51,AW$6&lt;=$BI51),"遅","")))))</f>
        <v/>
      </c>
      <c r="AX51" s="93" t="str">
        <f>IF($BB51="","",IF(AX$6=$BJ51,"◆",IF(AND(AX$6&gt;=$BF51,AX$6&lt;=$BG51),IF(AND(AX$6&gt;=$BD51,AX$6&lt;=$BE51),"実","外"),IF(AND(AX$6&gt;=$BD51,AX$6&lt;=$BE51),"計",IF(AND(AX$6&gt;=$BH51,AX$6&lt;=$BI51),"遅","")))))</f>
        <v/>
      </c>
      <c r="AY51" s="93" t="str">
        <f>IF($BB51="","",IF(AY$6=$BJ51,"◆",IF(AND(AY$6&gt;=$BF51,AY$6&lt;=$BG51),IF(AND(AY$6&gt;=$BD51,AY$6&lt;=$BE51),"実","外"),IF(AND(AY$6&gt;=$BD51,AY$6&lt;=$BE51),"計",IF(AND(AY$6&gt;=$BH51,AY$6&lt;=$BI51),"遅","")))))</f>
        <v/>
      </c>
      <c r="AZ51" s="93" t="str">
        <f>IF($BB51="","",IF(AZ$6=$BJ51,"◆",IF(AND(AZ$6&gt;=$BF51,AZ$6&lt;=$BG51),IF(AND(AZ$6&gt;=$BD51,AZ$6&lt;=$BE51),"実","外"),IF(AND(AZ$6&gt;=$BD51,AZ$6&lt;=$BE51),"計",IF(AND(AZ$6&gt;=$BH51,AZ$6&lt;=$BI51),"遅","")))))</f>
        <v/>
      </c>
      <c r="BB51" t="str">
        <f>IF(44&gt;COUNTIF(tblSteps[日別対象],1),"",IFERROR(MATCH(44,tblSteps[日別順位],0),""))</f>
        <v/>
      </c>
      <c r="BC51" t="str">
        <f>IF($BB51="","",INDEX(tblSteps[案件ID],$BB51)&amp;"")</f>
        <v/>
      </c>
      <c r="BD51" t="str">
        <f>IF($BB51="","",INDEX(tblSteps[計開],$BB51))</f>
        <v/>
      </c>
      <c r="BE51" t="str">
        <f>IF($BB51="","",INDEX(tblSteps[計終],$BB51))</f>
        <v/>
      </c>
      <c r="BF51" t="str">
        <f>IF($BB51="","",INDEX(tblSteps[実開],$BB51))</f>
        <v/>
      </c>
      <c r="BG51" t="str">
        <f>IF($BB51="","",INDEX(tblSteps[実終],$BB51))</f>
        <v/>
      </c>
      <c r="BH51" t="str">
        <f>IF($BB51="","",INDEX(tblSteps[遅開],$BB51))</f>
        <v/>
      </c>
      <c r="BI51" t="str">
        <f>IF($BB51="","",INDEX(tblSteps[遅終],$BB51))</f>
        <v/>
      </c>
      <c r="BJ51" t="str">
        <f>IF($BB51="","",INDEX(tblSteps[納期値],$BB51))</f>
        <v/>
      </c>
    </row>
    <row r="52" ht="18" customHeight="1">
      <c r="A52" s="89" t="str">
        <f>IF($BB52="","",INDEX(tblSteps[工程ID],$BB52)&amp;"")</f>
        <v/>
      </c>
      <c r="B52" s="88" t="str">
        <f>IF($BB52="","",IF($BC52=$BC51,"",$BC52&amp;" "&amp;INDEX(tblSteps[案件名],$BB52)))</f>
        <v/>
      </c>
      <c r="C52" s="88" t="str">
        <f>IF($BB52="","",INDEX(tblSteps[工程名],$BB52)&amp;"")</f>
        <v/>
      </c>
      <c r="D52" s="89" t="str">
        <f>IF($BB52="","",INDEX(tblSteps[担当],$BB52)&amp;"")</f>
        <v/>
      </c>
      <c r="E52" s="89" t="str">
        <f>IF($BB52="","",INDEX(tblSteps[状態],$BB52)&amp;"")</f>
        <v/>
      </c>
      <c r="F52" s="90" t="str">
        <f>IF($BB52="","",IF(ISNUMBER(INDEX(tblSteps[進捗率],$BB52)),INDEX(tblSteps[進捗率],$BB52),""))</f>
        <v/>
      </c>
      <c r="G52" s="91" t="str">
        <f>IF($BB52="","",IF(ISNUMBER(INDEX(tblSteps[計画開始日],$BB52)),INDEX(tblSteps[計画開始日],$BB52),"未入力"))</f>
        <v/>
      </c>
      <c r="H52" s="91" t="str">
        <f>IF($BB52="","",IF(ISNUMBER(INDEX(tblSteps[計画終了日],$BB52)),INDEX(tblSteps[計画終了日],$BB52),"未入力"))</f>
        <v/>
      </c>
      <c r="I52" s="91" t="str">
        <f>IF($BB52="","",IF(ISNUMBER(INDEX(tblSteps[完了見込日],$BB52)),INDEX(tblSteps[完了見込日],$BB52),""))</f>
        <v/>
      </c>
      <c r="J52" s="92" t="str">
        <f>IF($BB52="","",INDEX(tblSteps[注意短],$BB52)&amp;"")</f>
        <v/>
      </c>
      <c r="K52" s="93" t="str">
        <f>IF($BB52="","",IF(K$6=$BJ52,"◆",IF(AND(K$6&gt;=$BF52,K$6&lt;=$BG52),IF(AND(K$6&gt;=$BD52,K$6&lt;=$BE52),"実","外"),IF(AND(K$6&gt;=$BD52,K$6&lt;=$BE52),"計",IF(AND(K$6&gt;=$BH52,K$6&lt;=$BI52),"遅","")))))</f>
        <v/>
      </c>
      <c r="L52" s="93" t="str">
        <f>IF($BB52="","",IF(L$6=$BJ52,"◆",IF(AND(L$6&gt;=$BF52,L$6&lt;=$BG52),IF(AND(L$6&gt;=$BD52,L$6&lt;=$BE52),"実","外"),IF(AND(L$6&gt;=$BD52,L$6&lt;=$BE52),"計",IF(AND(L$6&gt;=$BH52,L$6&lt;=$BI52),"遅","")))))</f>
        <v/>
      </c>
      <c r="M52" s="93" t="str">
        <f>IF($BB52="","",IF(M$6=$BJ52,"◆",IF(AND(M$6&gt;=$BF52,M$6&lt;=$BG52),IF(AND(M$6&gt;=$BD52,M$6&lt;=$BE52),"実","外"),IF(AND(M$6&gt;=$BD52,M$6&lt;=$BE52),"計",IF(AND(M$6&gt;=$BH52,M$6&lt;=$BI52),"遅","")))))</f>
        <v/>
      </c>
      <c r="N52" s="93" t="str">
        <f>IF($BB52="","",IF(N$6=$BJ52,"◆",IF(AND(N$6&gt;=$BF52,N$6&lt;=$BG52),IF(AND(N$6&gt;=$BD52,N$6&lt;=$BE52),"実","外"),IF(AND(N$6&gt;=$BD52,N$6&lt;=$BE52),"計",IF(AND(N$6&gt;=$BH52,N$6&lt;=$BI52),"遅","")))))</f>
        <v/>
      </c>
      <c r="O52" s="93" t="str">
        <f>IF($BB52="","",IF(O$6=$BJ52,"◆",IF(AND(O$6&gt;=$BF52,O$6&lt;=$BG52),IF(AND(O$6&gt;=$BD52,O$6&lt;=$BE52),"実","外"),IF(AND(O$6&gt;=$BD52,O$6&lt;=$BE52),"計",IF(AND(O$6&gt;=$BH52,O$6&lt;=$BI52),"遅","")))))</f>
        <v/>
      </c>
      <c r="P52" s="93" t="str">
        <f>IF($BB52="","",IF(P$6=$BJ52,"◆",IF(AND(P$6&gt;=$BF52,P$6&lt;=$BG52),IF(AND(P$6&gt;=$BD52,P$6&lt;=$BE52),"実","外"),IF(AND(P$6&gt;=$BD52,P$6&lt;=$BE52),"計",IF(AND(P$6&gt;=$BH52,P$6&lt;=$BI52),"遅","")))))</f>
        <v/>
      </c>
      <c r="Q52" s="93" t="str">
        <f>IF($BB52="","",IF(Q$6=$BJ52,"◆",IF(AND(Q$6&gt;=$BF52,Q$6&lt;=$BG52),IF(AND(Q$6&gt;=$BD52,Q$6&lt;=$BE52),"実","外"),IF(AND(Q$6&gt;=$BD52,Q$6&lt;=$BE52),"計",IF(AND(Q$6&gt;=$BH52,Q$6&lt;=$BI52),"遅","")))))</f>
        <v/>
      </c>
      <c r="R52" s="93" t="str">
        <f>IF($BB52="","",IF(R$6=$BJ52,"◆",IF(AND(R$6&gt;=$BF52,R$6&lt;=$BG52),IF(AND(R$6&gt;=$BD52,R$6&lt;=$BE52),"実","外"),IF(AND(R$6&gt;=$BD52,R$6&lt;=$BE52),"計",IF(AND(R$6&gt;=$BH52,R$6&lt;=$BI52),"遅","")))))</f>
        <v/>
      </c>
      <c r="S52" s="93" t="str">
        <f>IF($BB52="","",IF(S$6=$BJ52,"◆",IF(AND(S$6&gt;=$BF52,S$6&lt;=$BG52),IF(AND(S$6&gt;=$BD52,S$6&lt;=$BE52),"実","外"),IF(AND(S$6&gt;=$BD52,S$6&lt;=$BE52),"計",IF(AND(S$6&gt;=$BH52,S$6&lt;=$BI52),"遅","")))))</f>
        <v/>
      </c>
      <c r="T52" s="93" t="str">
        <f>IF($BB52="","",IF(T$6=$BJ52,"◆",IF(AND(T$6&gt;=$BF52,T$6&lt;=$BG52),IF(AND(T$6&gt;=$BD52,T$6&lt;=$BE52),"実","外"),IF(AND(T$6&gt;=$BD52,T$6&lt;=$BE52),"計",IF(AND(T$6&gt;=$BH52,T$6&lt;=$BI52),"遅","")))))</f>
        <v/>
      </c>
      <c r="U52" s="93" t="str">
        <f>IF($BB52="","",IF(U$6=$BJ52,"◆",IF(AND(U$6&gt;=$BF52,U$6&lt;=$BG52),IF(AND(U$6&gt;=$BD52,U$6&lt;=$BE52),"実","外"),IF(AND(U$6&gt;=$BD52,U$6&lt;=$BE52),"計",IF(AND(U$6&gt;=$BH52,U$6&lt;=$BI52),"遅","")))))</f>
        <v/>
      </c>
      <c r="V52" s="93" t="str">
        <f>IF($BB52="","",IF(V$6=$BJ52,"◆",IF(AND(V$6&gt;=$BF52,V$6&lt;=$BG52),IF(AND(V$6&gt;=$BD52,V$6&lt;=$BE52),"実","外"),IF(AND(V$6&gt;=$BD52,V$6&lt;=$BE52),"計",IF(AND(V$6&gt;=$BH52,V$6&lt;=$BI52),"遅","")))))</f>
        <v/>
      </c>
      <c r="W52" s="93" t="str">
        <f>IF($BB52="","",IF(W$6=$BJ52,"◆",IF(AND(W$6&gt;=$BF52,W$6&lt;=$BG52),IF(AND(W$6&gt;=$BD52,W$6&lt;=$BE52),"実","外"),IF(AND(W$6&gt;=$BD52,W$6&lt;=$BE52),"計",IF(AND(W$6&gt;=$BH52,W$6&lt;=$BI52),"遅","")))))</f>
        <v/>
      </c>
      <c r="X52" s="93" t="str">
        <f>IF($BB52="","",IF(X$6=$BJ52,"◆",IF(AND(X$6&gt;=$BF52,X$6&lt;=$BG52),IF(AND(X$6&gt;=$BD52,X$6&lt;=$BE52),"実","外"),IF(AND(X$6&gt;=$BD52,X$6&lt;=$BE52),"計",IF(AND(X$6&gt;=$BH52,X$6&lt;=$BI52),"遅","")))))</f>
        <v/>
      </c>
      <c r="Y52" s="93" t="str">
        <f>IF($BB52="","",IF(Y$6=$BJ52,"◆",IF(AND(Y$6&gt;=$BF52,Y$6&lt;=$BG52),IF(AND(Y$6&gt;=$BD52,Y$6&lt;=$BE52),"実","外"),IF(AND(Y$6&gt;=$BD52,Y$6&lt;=$BE52),"計",IF(AND(Y$6&gt;=$BH52,Y$6&lt;=$BI52),"遅","")))))</f>
        <v/>
      </c>
      <c r="Z52" s="93" t="str">
        <f>IF($BB52="","",IF(Z$6=$BJ52,"◆",IF(AND(Z$6&gt;=$BF52,Z$6&lt;=$BG52),IF(AND(Z$6&gt;=$BD52,Z$6&lt;=$BE52),"実","外"),IF(AND(Z$6&gt;=$BD52,Z$6&lt;=$BE52),"計",IF(AND(Z$6&gt;=$BH52,Z$6&lt;=$BI52),"遅","")))))</f>
        <v/>
      </c>
      <c r="AA52" s="93" t="str">
        <f>IF($BB52="","",IF(AA$6=$BJ52,"◆",IF(AND(AA$6&gt;=$BF52,AA$6&lt;=$BG52),IF(AND(AA$6&gt;=$BD52,AA$6&lt;=$BE52),"実","外"),IF(AND(AA$6&gt;=$BD52,AA$6&lt;=$BE52),"計",IF(AND(AA$6&gt;=$BH52,AA$6&lt;=$BI52),"遅","")))))</f>
        <v/>
      </c>
      <c r="AB52" s="93" t="str">
        <f>IF($BB52="","",IF(AB$6=$BJ52,"◆",IF(AND(AB$6&gt;=$BF52,AB$6&lt;=$BG52),IF(AND(AB$6&gt;=$BD52,AB$6&lt;=$BE52),"実","外"),IF(AND(AB$6&gt;=$BD52,AB$6&lt;=$BE52),"計",IF(AND(AB$6&gt;=$BH52,AB$6&lt;=$BI52),"遅","")))))</f>
        <v/>
      </c>
      <c r="AC52" s="93" t="str">
        <f>IF($BB52="","",IF(AC$6=$BJ52,"◆",IF(AND(AC$6&gt;=$BF52,AC$6&lt;=$BG52),IF(AND(AC$6&gt;=$BD52,AC$6&lt;=$BE52),"実","外"),IF(AND(AC$6&gt;=$BD52,AC$6&lt;=$BE52),"計",IF(AND(AC$6&gt;=$BH52,AC$6&lt;=$BI52),"遅","")))))</f>
        <v/>
      </c>
      <c r="AD52" s="93" t="str">
        <f>IF($BB52="","",IF(AD$6=$BJ52,"◆",IF(AND(AD$6&gt;=$BF52,AD$6&lt;=$BG52),IF(AND(AD$6&gt;=$BD52,AD$6&lt;=$BE52),"実","外"),IF(AND(AD$6&gt;=$BD52,AD$6&lt;=$BE52),"計",IF(AND(AD$6&gt;=$BH52,AD$6&lt;=$BI52),"遅","")))))</f>
        <v/>
      </c>
      <c r="AE52" s="93" t="str">
        <f>IF($BB52="","",IF(AE$6=$BJ52,"◆",IF(AND(AE$6&gt;=$BF52,AE$6&lt;=$BG52),IF(AND(AE$6&gt;=$BD52,AE$6&lt;=$BE52),"実","外"),IF(AND(AE$6&gt;=$BD52,AE$6&lt;=$BE52),"計",IF(AND(AE$6&gt;=$BH52,AE$6&lt;=$BI52),"遅","")))))</f>
        <v/>
      </c>
      <c r="AF52" s="93" t="str">
        <f>IF($BB52="","",IF(AF$6=$BJ52,"◆",IF(AND(AF$6&gt;=$BF52,AF$6&lt;=$BG52),IF(AND(AF$6&gt;=$BD52,AF$6&lt;=$BE52),"実","外"),IF(AND(AF$6&gt;=$BD52,AF$6&lt;=$BE52),"計",IF(AND(AF$6&gt;=$BH52,AF$6&lt;=$BI52),"遅","")))))</f>
        <v/>
      </c>
      <c r="AG52" s="93" t="str">
        <f>IF($BB52="","",IF(AG$6=$BJ52,"◆",IF(AND(AG$6&gt;=$BF52,AG$6&lt;=$BG52),IF(AND(AG$6&gt;=$BD52,AG$6&lt;=$BE52),"実","外"),IF(AND(AG$6&gt;=$BD52,AG$6&lt;=$BE52),"計",IF(AND(AG$6&gt;=$BH52,AG$6&lt;=$BI52),"遅","")))))</f>
        <v/>
      </c>
      <c r="AH52" s="93" t="str">
        <f>IF($BB52="","",IF(AH$6=$BJ52,"◆",IF(AND(AH$6&gt;=$BF52,AH$6&lt;=$BG52),IF(AND(AH$6&gt;=$BD52,AH$6&lt;=$BE52),"実","外"),IF(AND(AH$6&gt;=$BD52,AH$6&lt;=$BE52),"計",IF(AND(AH$6&gt;=$BH52,AH$6&lt;=$BI52),"遅","")))))</f>
        <v/>
      </c>
      <c r="AI52" s="93" t="str">
        <f>IF($BB52="","",IF(AI$6=$BJ52,"◆",IF(AND(AI$6&gt;=$BF52,AI$6&lt;=$BG52),IF(AND(AI$6&gt;=$BD52,AI$6&lt;=$BE52),"実","外"),IF(AND(AI$6&gt;=$BD52,AI$6&lt;=$BE52),"計",IF(AND(AI$6&gt;=$BH52,AI$6&lt;=$BI52),"遅","")))))</f>
        <v/>
      </c>
      <c r="AJ52" s="93" t="str">
        <f>IF($BB52="","",IF(AJ$6=$BJ52,"◆",IF(AND(AJ$6&gt;=$BF52,AJ$6&lt;=$BG52),IF(AND(AJ$6&gt;=$BD52,AJ$6&lt;=$BE52),"実","外"),IF(AND(AJ$6&gt;=$BD52,AJ$6&lt;=$BE52),"計",IF(AND(AJ$6&gt;=$BH52,AJ$6&lt;=$BI52),"遅","")))))</f>
        <v/>
      </c>
      <c r="AK52" s="93" t="str">
        <f>IF($BB52="","",IF(AK$6=$BJ52,"◆",IF(AND(AK$6&gt;=$BF52,AK$6&lt;=$BG52),IF(AND(AK$6&gt;=$BD52,AK$6&lt;=$BE52),"実","外"),IF(AND(AK$6&gt;=$BD52,AK$6&lt;=$BE52),"計",IF(AND(AK$6&gt;=$BH52,AK$6&lt;=$BI52),"遅","")))))</f>
        <v/>
      </c>
      <c r="AL52" s="93" t="str">
        <f>IF($BB52="","",IF(AL$6=$BJ52,"◆",IF(AND(AL$6&gt;=$BF52,AL$6&lt;=$BG52),IF(AND(AL$6&gt;=$BD52,AL$6&lt;=$BE52),"実","外"),IF(AND(AL$6&gt;=$BD52,AL$6&lt;=$BE52),"計",IF(AND(AL$6&gt;=$BH52,AL$6&lt;=$BI52),"遅","")))))</f>
        <v/>
      </c>
      <c r="AM52" s="93" t="str">
        <f>IF($BB52="","",IF(AM$6=$BJ52,"◆",IF(AND(AM$6&gt;=$BF52,AM$6&lt;=$BG52),IF(AND(AM$6&gt;=$BD52,AM$6&lt;=$BE52),"実","外"),IF(AND(AM$6&gt;=$BD52,AM$6&lt;=$BE52),"計",IF(AND(AM$6&gt;=$BH52,AM$6&lt;=$BI52),"遅","")))))</f>
        <v/>
      </c>
      <c r="AN52" s="93" t="str">
        <f>IF($BB52="","",IF(AN$6=$BJ52,"◆",IF(AND(AN$6&gt;=$BF52,AN$6&lt;=$BG52),IF(AND(AN$6&gt;=$BD52,AN$6&lt;=$BE52),"実","外"),IF(AND(AN$6&gt;=$BD52,AN$6&lt;=$BE52),"計",IF(AND(AN$6&gt;=$BH52,AN$6&lt;=$BI52),"遅","")))))</f>
        <v/>
      </c>
      <c r="AO52" s="93" t="str">
        <f>IF($BB52="","",IF(AO$6=$BJ52,"◆",IF(AND(AO$6&gt;=$BF52,AO$6&lt;=$BG52),IF(AND(AO$6&gt;=$BD52,AO$6&lt;=$BE52),"実","外"),IF(AND(AO$6&gt;=$BD52,AO$6&lt;=$BE52),"計",IF(AND(AO$6&gt;=$BH52,AO$6&lt;=$BI52),"遅","")))))</f>
        <v/>
      </c>
      <c r="AP52" s="93" t="str">
        <f>IF($BB52="","",IF(AP$6=$BJ52,"◆",IF(AND(AP$6&gt;=$BF52,AP$6&lt;=$BG52),IF(AND(AP$6&gt;=$BD52,AP$6&lt;=$BE52),"実","外"),IF(AND(AP$6&gt;=$BD52,AP$6&lt;=$BE52),"計",IF(AND(AP$6&gt;=$BH52,AP$6&lt;=$BI52),"遅","")))))</f>
        <v/>
      </c>
      <c r="AQ52" s="93" t="str">
        <f>IF($BB52="","",IF(AQ$6=$BJ52,"◆",IF(AND(AQ$6&gt;=$BF52,AQ$6&lt;=$BG52),IF(AND(AQ$6&gt;=$BD52,AQ$6&lt;=$BE52),"実","外"),IF(AND(AQ$6&gt;=$BD52,AQ$6&lt;=$BE52),"計",IF(AND(AQ$6&gt;=$BH52,AQ$6&lt;=$BI52),"遅","")))))</f>
        <v/>
      </c>
      <c r="AR52" s="93" t="str">
        <f>IF($BB52="","",IF(AR$6=$BJ52,"◆",IF(AND(AR$6&gt;=$BF52,AR$6&lt;=$BG52),IF(AND(AR$6&gt;=$BD52,AR$6&lt;=$BE52),"実","外"),IF(AND(AR$6&gt;=$BD52,AR$6&lt;=$BE52),"計",IF(AND(AR$6&gt;=$BH52,AR$6&lt;=$BI52),"遅","")))))</f>
        <v/>
      </c>
      <c r="AS52" s="93" t="str">
        <f>IF($BB52="","",IF(AS$6=$BJ52,"◆",IF(AND(AS$6&gt;=$BF52,AS$6&lt;=$BG52),IF(AND(AS$6&gt;=$BD52,AS$6&lt;=$BE52),"実","外"),IF(AND(AS$6&gt;=$BD52,AS$6&lt;=$BE52),"計",IF(AND(AS$6&gt;=$BH52,AS$6&lt;=$BI52),"遅","")))))</f>
        <v/>
      </c>
      <c r="AT52" s="93" t="str">
        <f>IF($BB52="","",IF(AT$6=$BJ52,"◆",IF(AND(AT$6&gt;=$BF52,AT$6&lt;=$BG52),IF(AND(AT$6&gt;=$BD52,AT$6&lt;=$BE52),"実","外"),IF(AND(AT$6&gt;=$BD52,AT$6&lt;=$BE52),"計",IF(AND(AT$6&gt;=$BH52,AT$6&lt;=$BI52),"遅","")))))</f>
        <v/>
      </c>
      <c r="AU52" s="93" t="str">
        <f>IF($BB52="","",IF(AU$6=$BJ52,"◆",IF(AND(AU$6&gt;=$BF52,AU$6&lt;=$BG52),IF(AND(AU$6&gt;=$BD52,AU$6&lt;=$BE52),"実","外"),IF(AND(AU$6&gt;=$BD52,AU$6&lt;=$BE52),"計",IF(AND(AU$6&gt;=$BH52,AU$6&lt;=$BI52),"遅","")))))</f>
        <v/>
      </c>
      <c r="AV52" s="93" t="str">
        <f>IF($BB52="","",IF(AV$6=$BJ52,"◆",IF(AND(AV$6&gt;=$BF52,AV$6&lt;=$BG52),IF(AND(AV$6&gt;=$BD52,AV$6&lt;=$BE52),"実","外"),IF(AND(AV$6&gt;=$BD52,AV$6&lt;=$BE52),"計",IF(AND(AV$6&gt;=$BH52,AV$6&lt;=$BI52),"遅","")))))</f>
        <v/>
      </c>
      <c r="AW52" s="93" t="str">
        <f>IF($BB52="","",IF(AW$6=$BJ52,"◆",IF(AND(AW$6&gt;=$BF52,AW$6&lt;=$BG52),IF(AND(AW$6&gt;=$BD52,AW$6&lt;=$BE52),"実","外"),IF(AND(AW$6&gt;=$BD52,AW$6&lt;=$BE52),"計",IF(AND(AW$6&gt;=$BH52,AW$6&lt;=$BI52),"遅","")))))</f>
        <v/>
      </c>
      <c r="AX52" s="93" t="str">
        <f>IF($BB52="","",IF(AX$6=$BJ52,"◆",IF(AND(AX$6&gt;=$BF52,AX$6&lt;=$BG52),IF(AND(AX$6&gt;=$BD52,AX$6&lt;=$BE52),"実","外"),IF(AND(AX$6&gt;=$BD52,AX$6&lt;=$BE52),"計",IF(AND(AX$6&gt;=$BH52,AX$6&lt;=$BI52),"遅","")))))</f>
        <v/>
      </c>
      <c r="AY52" s="93" t="str">
        <f>IF($BB52="","",IF(AY$6=$BJ52,"◆",IF(AND(AY$6&gt;=$BF52,AY$6&lt;=$BG52),IF(AND(AY$6&gt;=$BD52,AY$6&lt;=$BE52),"実","外"),IF(AND(AY$6&gt;=$BD52,AY$6&lt;=$BE52),"計",IF(AND(AY$6&gt;=$BH52,AY$6&lt;=$BI52),"遅","")))))</f>
        <v/>
      </c>
      <c r="AZ52" s="93" t="str">
        <f>IF($BB52="","",IF(AZ$6=$BJ52,"◆",IF(AND(AZ$6&gt;=$BF52,AZ$6&lt;=$BG52),IF(AND(AZ$6&gt;=$BD52,AZ$6&lt;=$BE52),"実","外"),IF(AND(AZ$6&gt;=$BD52,AZ$6&lt;=$BE52),"計",IF(AND(AZ$6&gt;=$BH52,AZ$6&lt;=$BI52),"遅","")))))</f>
        <v/>
      </c>
      <c r="BB52" t="str">
        <f>IF(45&gt;COUNTIF(tblSteps[日別対象],1),"",IFERROR(MATCH(45,tblSteps[日別順位],0),""))</f>
        <v/>
      </c>
      <c r="BC52" t="str">
        <f>IF($BB52="","",INDEX(tblSteps[案件ID],$BB52)&amp;"")</f>
        <v/>
      </c>
      <c r="BD52" t="str">
        <f>IF($BB52="","",INDEX(tblSteps[計開],$BB52))</f>
        <v/>
      </c>
      <c r="BE52" t="str">
        <f>IF($BB52="","",INDEX(tblSteps[計終],$BB52))</f>
        <v/>
      </c>
      <c r="BF52" t="str">
        <f>IF($BB52="","",INDEX(tblSteps[実開],$BB52))</f>
        <v/>
      </c>
      <c r="BG52" t="str">
        <f>IF($BB52="","",INDEX(tblSteps[実終],$BB52))</f>
        <v/>
      </c>
      <c r="BH52" t="str">
        <f>IF($BB52="","",INDEX(tblSteps[遅開],$BB52))</f>
        <v/>
      </c>
      <c r="BI52" t="str">
        <f>IF($BB52="","",INDEX(tblSteps[遅終],$BB52))</f>
        <v/>
      </c>
      <c r="BJ52" t="str">
        <f>IF($BB52="","",INDEX(tblSteps[納期値],$BB52))</f>
        <v/>
      </c>
    </row>
    <row r="53" ht="18" customHeight="1">
      <c r="A53" s="89" t="str">
        <f>IF($BB53="","",INDEX(tblSteps[工程ID],$BB53)&amp;"")</f>
        <v/>
      </c>
      <c r="B53" s="88" t="str">
        <f>IF($BB53="","",IF($BC53=$BC52,"",$BC53&amp;" "&amp;INDEX(tblSteps[案件名],$BB53)))</f>
        <v/>
      </c>
      <c r="C53" s="88" t="str">
        <f>IF($BB53="","",INDEX(tblSteps[工程名],$BB53)&amp;"")</f>
        <v/>
      </c>
      <c r="D53" s="89" t="str">
        <f>IF($BB53="","",INDEX(tblSteps[担当],$BB53)&amp;"")</f>
        <v/>
      </c>
      <c r="E53" s="89" t="str">
        <f>IF($BB53="","",INDEX(tblSteps[状態],$BB53)&amp;"")</f>
        <v/>
      </c>
      <c r="F53" s="90" t="str">
        <f>IF($BB53="","",IF(ISNUMBER(INDEX(tblSteps[進捗率],$BB53)),INDEX(tblSteps[進捗率],$BB53),""))</f>
        <v/>
      </c>
      <c r="G53" s="91" t="str">
        <f>IF($BB53="","",IF(ISNUMBER(INDEX(tblSteps[計画開始日],$BB53)),INDEX(tblSteps[計画開始日],$BB53),"未入力"))</f>
        <v/>
      </c>
      <c r="H53" s="91" t="str">
        <f>IF($BB53="","",IF(ISNUMBER(INDEX(tblSteps[計画終了日],$BB53)),INDEX(tblSteps[計画終了日],$BB53),"未入力"))</f>
        <v/>
      </c>
      <c r="I53" s="91" t="str">
        <f>IF($BB53="","",IF(ISNUMBER(INDEX(tblSteps[完了見込日],$BB53)),INDEX(tblSteps[完了見込日],$BB53),""))</f>
        <v/>
      </c>
      <c r="J53" s="92" t="str">
        <f>IF($BB53="","",INDEX(tblSteps[注意短],$BB53)&amp;"")</f>
        <v/>
      </c>
      <c r="K53" s="93" t="str">
        <f>IF($BB53="","",IF(K$6=$BJ53,"◆",IF(AND(K$6&gt;=$BF53,K$6&lt;=$BG53),IF(AND(K$6&gt;=$BD53,K$6&lt;=$BE53),"実","外"),IF(AND(K$6&gt;=$BD53,K$6&lt;=$BE53),"計",IF(AND(K$6&gt;=$BH53,K$6&lt;=$BI53),"遅","")))))</f>
        <v/>
      </c>
      <c r="L53" s="93" t="str">
        <f>IF($BB53="","",IF(L$6=$BJ53,"◆",IF(AND(L$6&gt;=$BF53,L$6&lt;=$BG53),IF(AND(L$6&gt;=$BD53,L$6&lt;=$BE53),"実","外"),IF(AND(L$6&gt;=$BD53,L$6&lt;=$BE53),"計",IF(AND(L$6&gt;=$BH53,L$6&lt;=$BI53),"遅","")))))</f>
        <v/>
      </c>
      <c r="M53" s="93" t="str">
        <f>IF($BB53="","",IF(M$6=$BJ53,"◆",IF(AND(M$6&gt;=$BF53,M$6&lt;=$BG53),IF(AND(M$6&gt;=$BD53,M$6&lt;=$BE53),"実","外"),IF(AND(M$6&gt;=$BD53,M$6&lt;=$BE53),"計",IF(AND(M$6&gt;=$BH53,M$6&lt;=$BI53),"遅","")))))</f>
        <v/>
      </c>
      <c r="N53" s="93" t="str">
        <f>IF($BB53="","",IF(N$6=$BJ53,"◆",IF(AND(N$6&gt;=$BF53,N$6&lt;=$BG53),IF(AND(N$6&gt;=$BD53,N$6&lt;=$BE53),"実","外"),IF(AND(N$6&gt;=$BD53,N$6&lt;=$BE53),"計",IF(AND(N$6&gt;=$BH53,N$6&lt;=$BI53),"遅","")))))</f>
        <v/>
      </c>
      <c r="O53" s="93" t="str">
        <f>IF($BB53="","",IF(O$6=$BJ53,"◆",IF(AND(O$6&gt;=$BF53,O$6&lt;=$BG53),IF(AND(O$6&gt;=$BD53,O$6&lt;=$BE53),"実","外"),IF(AND(O$6&gt;=$BD53,O$6&lt;=$BE53),"計",IF(AND(O$6&gt;=$BH53,O$6&lt;=$BI53),"遅","")))))</f>
        <v/>
      </c>
      <c r="P53" s="93" t="str">
        <f>IF($BB53="","",IF(P$6=$BJ53,"◆",IF(AND(P$6&gt;=$BF53,P$6&lt;=$BG53),IF(AND(P$6&gt;=$BD53,P$6&lt;=$BE53),"実","外"),IF(AND(P$6&gt;=$BD53,P$6&lt;=$BE53),"計",IF(AND(P$6&gt;=$BH53,P$6&lt;=$BI53),"遅","")))))</f>
        <v/>
      </c>
      <c r="Q53" s="93" t="str">
        <f>IF($BB53="","",IF(Q$6=$BJ53,"◆",IF(AND(Q$6&gt;=$BF53,Q$6&lt;=$BG53),IF(AND(Q$6&gt;=$BD53,Q$6&lt;=$BE53),"実","外"),IF(AND(Q$6&gt;=$BD53,Q$6&lt;=$BE53),"計",IF(AND(Q$6&gt;=$BH53,Q$6&lt;=$BI53),"遅","")))))</f>
        <v/>
      </c>
      <c r="R53" s="93" t="str">
        <f>IF($BB53="","",IF(R$6=$BJ53,"◆",IF(AND(R$6&gt;=$BF53,R$6&lt;=$BG53),IF(AND(R$6&gt;=$BD53,R$6&lt;=$BE53),"実","外"),IF(AND(R$6&gt;=$BD53,R$6&lt;=$BE53),"計",IF(AND(R$6&gt;=$BH53,R$6&lt;=$BI53),"遅","")))))</f>
        <v/>
      </c>
      <c r="S53" s="93" t="str">
        <f>IF($BB53="","",IF(S$6=$BJ53,"◆",IF(AND(S$6&gt;=$BF53,S$6&lt;=$BG53),IF(AND(S$6&gt;=$BD53,S$6&lt;=$BE53),"実","外"),IF(AND(S$6&gt;=$BD53,S$6&lt;=$BE53),"計",IF(AND(S$6&gt;=$BH53,S$6&lt;=$BI53),"遅","")))))</f>
        <v/>
      </c>
      <c r="T53" s="93" t="str">
        <f>IF($BB53="","",IF(T$6=$BJ53,"◆",IF(AND(T$6&gt;=$BF53,T$6&lt;=$BG53),IF(AND(T$6&gt;=$BD53,T$6&lt;=$BE53),"実","外"),IF(AND(T$6&gt;=$BD53,T$6&lt;=$BE53),"計",IF(AND(T$6&gt;=$BH53,T$6&lt;=$BI53),"遅","")))))</f>
        <v/>
      </c>
      <c r="U53" s="93" t="str">
        <f>IF($BB53="","",IF(U$6=$BJ53,"◆",IF(AND(U$6&gt;=$BF53,U$6&lt;=$BG53),IF(AND(U$6&gt;=$BD53,U$6&lt;=$BE53),"実","外"),IF(AND(U$6&gt;=$BD53,U$6&lt;=$BE53),"計",IF(AND(U$6&gt;=$BH53,U$6&lt;=$BI53),"遅","")))))</f>
        <v/>
      </c>
      <c r="V53" s="93" t="str">
        <f>IF($BB53="","",IF(V$6=$BJ53,"◆",IF(AND(V$6&gt;=$BF53,V$6&lt;=$BG53),IF(AND(V$6&gt;=$BD53,V$6&lt;=$BE53),"実","外"),IF(AND(V$6&gt;=$BD53,V$6&lt;=$BE53),"計",IF(AND(V$6&gt;=$BH53,V$6&lt;=$BI53),"遅","")))))</f>
        <v/>
      </c>
      <c r="W53" s="93" t="str">
        <f>IF($BB53="","",IF(W$6=$BJ53,"◆",IF(AND(W$6&gt;=$BF53,W$6&lt;=$BG53),IF(AND(W$6&gt;=$BD53,W$6&lt;=$BE53),"実","外"),IF(AND(W$6&gt;=$BD53,W$6&lt;=$BE53),"計",IF(AND(W$6&gt;=$BH53,W$6&lt;=$BI53),"遅","")))))</f>
        <v/>
      </c>
      <c r="X53" s="93" t="str">
        <f>IF($BB53="","",IF(X$6=$BJ53,"◆",IF(AND(X$6&gt;=$BF53,X$6&lt;=$BG53),IF(AND(X$6&gt;=$BD53,X$6&lt;=$BE53),"実","外"),IF(AND(X$6&gt;=$BD53,X$6&lt;=$BE53),"計",IF(AND(X$6&gt;=$BH53,X$6&lt;=$BI53),"遅","")))))</f>
        <v/>
      </c>
      <c r="Y53" s="93" t="str">
        <f>IF($BB53="","",IF(Y$6=$BJ53,"◆",IF(AND(Y$6&gt;=$BF53,Y$6&lt;=$BG53),IF(AND(Y$6&gt;=$BD53,Y$6&lt;=$BE53),"実","外"),IF(AND(Y$6&gt;=$BD53,Y$6&lt;=$BE53),"計",IF(AND(Y$6&gt;=$BH53,Y$6&lt;=$BI53),"遅","")))))</f>
        <v/>
      </c>
      <c r="Z53" s="93" t="str">
        <f>IF($BB53="","",IF(Z$6=$BJ53,"◆",IF(AND(Z$6&gt;=$BF53,Z$6&lt;=$BG53),IF(AND(Z$6&gt;=$BD53,Z$6&lt;=$BE53),"実","外"),IF(AND(Z$6&gt;=$BD53,Z$6&lt;=$BE53),"計",IF(AND(Z$6&gt;=$BH53,Z$6&lt;=$BI53),"遅","")))))</f>
        <v/>
      </c>
      <c r="AA53" s="93" t="str">
        <f>IF($BB53="","",IF(AA$6=$BJ53,"◆",IF(AND(AA$6&gt;=$BF53,AA$6&lt;=$BG53),IF(AND(AA$6&gt;=$BD53,AA$6&lt;=$BE53),"実","外"),IF(AND(AA$6&gt;=$BD53,AA$6&lt;=$BE53),"計",IF(AND(AA$6&gt;=$BH53,AA$6&lt;=$BI53),"遅","")))))</f>
        <v/>
      </c>
      <c r="AB53" s="93" t="str">
        <f>IF($BB53="","",IF(AB$6=$BJ53,"◆",IF(AND(AB$6&gt;=$BF53,AB$6&lt;=$BG53),IF(AND(AB$6&gt;=$BD53,AB$6&lt;=$BE53),"実","外"),IF(AND(AB$6&gt;=$BD53,AB$6&lt;=$BE53),"計",IF(AND(AB$6&gt;=$BH53,AB$6&lt;=$BI53),"遅","")))))</f>
        <v/>
      </c>
      <c r="AC53" s="93" t="str">
        <f>IF($BB53="","",IF(AC$6=$BJ53,"◆",IF(AND(AC$6&gt;=$BF53,AC$6&lt;=$BG53),IF(AND(AC$6&gt;=$BD53,AC$6&lt;=$BE53),"実","外"),IF(AND(AC$6&gt;=$BD53,AC$6&lt;=$BE53),"計",IF(AND(AC$6&gt;=$BH53,AC$6&lt;=$BI53),"遅","")))))</f>
        <v/>
      </c>
      <c r="AD53" s="93" t="str">
        <f>IF($BB53="","",IF(AD$6=$BJ53,"◆",IF(AND(AD$6&gt;=$BF53,AD$6&lt;=$BG53),IF(AND(AD$6&gt;=$BD53,AD$6&lt;=$BE53),"実","外"),IF(AND(AD$6&gt;=$BD53,AD$6&lt;=$BE53),"計",IF(AND(AD$6&gt;=$BH53,AD$6&lt;=$BI53),"遅","")))))</f>
        <v/>
      </c>
      <c r="AE53" s="93" t="str">
        <f>IF($BB53="","",IF(AE$6=$BJ53,"◆",IF(AND(AE$6&gt;=$BF53,AE$6&lt;=$BG53),IF(AND(AE$6&gt;=$BD53,AE$6&lt;=$BE53),"実","外"),IF(AND(AE$6&gt;=$BD53,AE$6&lt;=$BE53),"計",IF(AND(AE$6&gt;=$BH53,AE$6&lt;=$BI53),"遅","")))))</f>
        <v/>
      </c>
      <c r="AF53" s="93" t="str">
        <f>IF($BB53="","",IF(AF$6=$BJ53,"◆",IF(AND(AF$6&gt;=$BF53,AF$6&lt;=$BG53),IF(AND(AF$6&gt;=$BD53,AF$6&lt;=$BE53),"実","外"),IF(AND(AF$6&gt;=$BD53,AF$6&lt;=$BE53),"計",IF(AND(AF$6&gt;=$BH53,AF$6&lt;=$BI53),"遅","")))))</f>
        <v/>
      </c>
      <c r="AG53" s="93" t="str">
        <f>IF($BB53="","",IF(AG$6=$BJ53,"◆",IF(AND(AG$6&gt;=$BF53,AG$6&lt;=$BG53),IF(AND(AG$6&gt;=$BD53,AG$6&lt;=$BE53),"実","外"),IF(AND(AG$6&gt;=$BD53,AG$6&lt;=$BE53),"計",IF(AND(AG$6&gt;=$BH53,AG$6&lt;=$BI53),"遅","")))))</f>
        <v/>
      </c>
      <c r="AH53" s="93" t="str">
        <f>IF($BB53="","",IF(AH$6=$BJ53,"◆",IF(AND(AH$6&gt;=$BF53,AH$6&lt;=$BG53),IF(AND(AH$6&gt;=$BD53,AH$6&lt;=$BE53),"実","外"),IF(AND(AH$6&gt;=$BD53,AH$6&lt;=$BE53),"計",IF(AND(AH$6&gt;=$BH53,AH$6&lt;=$BI53),"遅","")))))</f>
        <v/>
      </c>
      <c r="AI53" s="93" t="str">
        <f>IF($BB53="","",IF(AI$6=$BJ53,"◆",IF(AND(AI$6&gt;=$BF53,AI$6&lt;=$BG53),IF(AND(AI$6&gt;=$BD53,AI$6&lt;=$BE53),"実","外"),IF(AND(AI$6&gt;=$BD53,AI$6&lt;=$BE53),"計",IF(AND(AI$6&gt;=$BH53,AI$6&lt;=$BI53),"遅","")))))</f>
        <v/>
      </c>
      <c r="AJ53" s="93" t="str">
        <f>IF($BB53="","",IF(AJ$6=$BJ53,"◆",IF(AND(AJ$6&gt;=$BF53,AJ$6&lt;=$BG53),IF(AND(AJ$6&gt;=$BD53,AJ$6&lt;=$BE53),"実","外"),IF(AND(AJ$6&gt;=$BD53,AJ$6&lt;=$BE53),"計",IF(AND(AJ$6&gt;=$BH53,AJ$6&lt;=$BI53),"遅","")))))</f>
        <v/>
      </c>
      <c r="AK53" s="93" t="str">
        <f>IF($BB53="","",IF(AK$6=$BJ53,"◆",IF(AND(AK$6&gt;=$BF53,AK$6&lt;=$BG53),IF(AND(AK$6&gt;=$BD53,AK$6&lt;=$BE53),"実","外"),IF(AND(AK$6&gt;=$BD53,AK$6&lt;=$BE53),"計",IF(AND(AK$6&gt;=$BH53,AK$6&lt;=$BI53),"遅","")))))</f>
        <v/>
      </c>
      <c r="AL53" s="93" t="str">
        <f>IF($BB53="","",IF(AL$6=$BJ53,"◆",IF(AND(AL$6&gt;=$BF53,AL$6&lt;=$BG53),IF(AND(AL$6&gt;=$BD53,AL$6&lt;=$BE53),"実","外"),IF(AND(AL$6&gt;=$BD53,AL$6&lt;=$BE53),"計",IF(AND(AL$6&gt;=$BH53,AL$6&lt;=$BI53),"遅","")))))</f>
        <v/>
      </c>
      <c r="AM53" s="93" t="str">
        <f>IF($BB53="","",IF(AM$6=$BJ53,"◆",IF(AND(AM$6&gt;=$BF53,AM$6&lt;=$BG53),IF(AND(AM$6&gt;=$BD53,AM$6&lt;=$BE53),"実","外"),IF(AND(AM$6&gt;=$BD53,AM$6&lt;=$BE53),"計",IF(AND(AM$6&gt;=$BH53,AM$6&lt;=$BI53),"遅","")))))</f>
        <v/>
      </c>
      <c r="AN53" s="93" t="str">
        <f>IF($BB53="","",IF(AN$6=$BJ53,"◆",IF(AND(AN$6&gt;=$BF53,AN$6&lt;=$BG53),IF(AND(AN$6&gt;=$BD53,AN$6&lt;=$BE53),"実","外"),IF(AND(AN$6&gt;=$BD53,AN$6&lt;=$BE53),"計",IF(AND(AN$6&gt;=$BH53,AN$6&lt;=$BI53),"遅","")))))</f>
        <v/>
      </c>
      <c r="AO53" s="93" t="str">
        <f>IF($BB53="","",IF(AO$6=$BJ53,"◆",IF(AND(AO$6&gt;=$BF53,AO$6&lt;=$BG53),IF(AND(AO$6&gt;=$BD53,AO$6&lt;=$BE53),"実","外"),IF(AND(AO$6&gt;=$BD53,AO$6&lt;=$BE53),"計",IF(AND(AO$6&gt;=$BH53,AO$6&lt;=$BI53),"遅","")))))</f>
        <v/>
      </c>
      <c r="AP53" s="93" t="str">
        <f>IF($BB53="","",IF(AP$6=$BJ53,"◆",IF(AND(AP$6&gt;=$BF53,AP$6&lt;=$BG53),IF(AND(AP$6&gt;=$BD53,AP$6&lt;=$BE53),"実","外"),IF(AND(AP$6&gt;=$BD53,AP$6&lt;=$BE53),"計",IF(AND(AP$6&gt;=$BH53,AP$6&lt;=$BI53),"遅","")))))</f>
        <v/>
      </c>
      <c r="AQ53" s="93" t="str">
        <f>IF($BB53="","",IF(AQ$6=$BJ53,"◆",IF(AND(AQ$6&gt;=$BF53,AQ$6&lt;=$BG53),IF(AND(AQ$6&gt;=$BD53,AQ$6&lt;=$BE53),"実","外"),IF(AND(AQ$6&gt;=$BD53,AQ$6&lt;=$BE53),"計",IF(AND(AQ$6&gt;=$BH53,AQ$6&lt;=$BI53),"遅","")))))</f>
        <v/>
      </c>
      <c r="AR53" s="93" t="str">
        <f>IF($BB53="","",IF(AR$6=$BJ53,"◆",IF(AND(AR$6&gt;=$BF53,AR$6&lt;=$BG53),IF(AND(AR$6&gt;=$BD53,AR$6&lt;=$BE53),"実","外"),IF(AND(AR$6&gt;=$BD53,AR$6&lt;=$BE53),"計",IF(AND(AR$6&gt;=$BH53,AR$6&lt;=$BI53),"遅","")))))</f>
        <v/>
      </c>
      <c r="AS53" s="93" t="str">
        <f>IF($BB53="","",IF(AS$6=$BJ53,"◆",IF(AND(AS$6&gt;=$BF53,AS$6&lt;=$BG53),IF(AND(AS$6&gt;=$BD53,AS$6&lt;=$BE53),"実","外"),IF(AND(AS$6&gt;=$BD53,AS$6&lt;=$BE53),"計",IF(AND(AS$6&gt;=$BH53,AS$6&lt;=$BI53),"遅","")))))</f>
        <v/>
      </c>
      <c r="AT53" s="93" t="str">
        <f>IF($BB53="","",IF(AT$6=$BJ53,"◆",IF(AND(AT$6&gt;=$BF53,AT$6&lt;=$BG53),IF(AND(AT$6&gt;=$BD53,AT$6&lt;=$BE53),"実","外"),IF(AND(AT$6&gt;=$BD53,AT$6&lt;=$BE53),"計",IF(AND(AT$6&gt;=$BH53,AT$6&lt;=$BI53),"遅","")))))</f>
        <v/>
      </c>
      <c r="AU53" s="93" t="str">
        <f>IF($BB53="","",IF(AU$6=$BJ53,"◆",IF(AND(AU$6&gt;=$BF53,AU$6&lt;=$BG53),IF(AND(AU$6&gt;=$BD53,AU$6&lt;=$BE53),"実","外"),IF(AND(AU$6&gt;=$BD53,AU$6&lt;=$BE53),"計",IF(AND(AU$6&gt;=$BH53,AU$6&lt;=$BI53),"遅","")))))</f>
        <v/>
      </c>
      <c r="AV53" s="93" t="str">
        <f>IF($BB53="","",IF(AV$6=$BJ53,"◆",IF(AND(AV$6&gt;=$BF53,AV$6&lt;=$BG53),IF(AND(AV$6&gt;=$BD53,AV$6&lt;=$BE53),"実","外"),IF(AND(AV$6&gt;=$BD53,AV$6&lt;=$BE53),"計",IF(AND(AV$6&gt;=$BH53,AV$6&lt;=$BI53),"遅","")))))</f>
        <v/>
      </c>
      <c r="AW53" s="93" t="str">
        <f>IF($BB53="","",IF(AW$6=$BJ53,"◆",IF(AND(AW$6&gt;=$BF53,AW$6&lt;=$BG53),IF(AND(AW$6&gt;=$BD53,AW$6&lt;=$BE53),"実","外"),IF(AND(AW$6&gt;=$BD53,AW$6&lt;=$BE53),"計",IF(AND(AW$6&gt;=$BH53,AW$6&lt;=$BI53),"遅","")))))</f>
        <v/>
      </c>
      <c r="AX53" s="93" t="str">
        <f>IF($BB53="","",IF(AX$6=$BJ53,"◆",IF(AND(AX$6&gt;=$BF53,AX$6&lt;=$BG53),IF(AND(AX$6&gt;=$BD53,AX$6&lt;=$BE53),"実","外"),IF(AND(AX$6&gt;=$BD53,AX$6&lt;=$BE53),"計",IF(AND(AX$6&gt;=$BH53,AX$6&lt;=$BI53),"遅","")))))</f>
        <v/>
      </c>
      <c r="AY53" s="93" t="str">
        <f>IF($BB53="","",IF(AY$6=$BJ53,"◆",IF(AND(AY$6&gt;=$BF53,AY$6&lt;=$BG53),IF(AND(AY$6&gt;=$BD53,AY$6&lt;=$BE53),"実","外"),IF(AND(AY$6&gt;=$BD53,AY$6&lt;=$BE53),"計",IF(AND(AY$6&gt;=$BH53,AY$6&lt;=$BI53),"遅","")))))</f>
        <v/>
      </c>
      <c r="AZ53" s="93" t="str">
        <f>IF($BB53="","",IF(AZ$6=$BJ53,"◆",IF(AND(AZ$6&gt;=$BF53,AZ$6&lt;=$BG53),IF(AND(AZ$6&gt;=$BD53,AZ$6&lt;=$BE53),"実","外"),IF(AND(AZ$6&gt;=$BD53,AZ$6&lt;=$BE53),"計",IF(AND(AZ$6&gt;=$BH53,AZ$6&lt;=$BI53),"遅","")))))</f>
        <v/>
      </c>
      <c r="BB53" t="str">
        <f>IF(46&gt;COUNTIF(tblSteps[日別対象],1),"",IFERROR(MATCH(46,tblSteps[日別順位],0),""))</f>
        <v/>
      </c>
      <c r="BC53" t="str">
        <f>IF($BB53="","",INDEX(tblSteps[案件ID],$BB53)&amp;"")</f>
        <v/>
      </c>
      <c r="BD53" t="str">
        <f>IF($BB53="","",INDEX(tblSteps[計開],$BB53))</f>
        <v/>
      </c>
      <c r="BE53" t="str">
        <f>IF($BB53="","",INDEX(tblSteps[計終],$BB53))</f>
        <v/>
      </c>
      <c r="BF53" t="str">
        <f>IF($BB53="","",INDEX(tblSteps[実開],$BB53))</f>
        <v/>
      </c>
      <c r="BG53" t="str">
        <f>IF($BB53="","",INDEX(tblSteps[実終],$BB53))</f>
        <v/>
      </c>
      <c r="BH53" t="str">
        <f>IF($BB53="","",INDEX(tblSteps[遅開],$BB53))</f>
        <v/>
      </c>
      <c r="BI53" t="str">
        <f>IF($BB53="","",INDEX(tblSteps[遅終],$BB53))</f>
        <v/>
      </c>
      <c r="BJ53" t="str">
        <f>IF($BB53="","",INDEX(tblSteps[納期値],$BB53))</f>
        <v/>
      </c>
    </row>
    <row r="54" ht="18" customHeight="1">
      <c r="A54" s="89" t="str">
        <f>IF($BB54="","",INDEX(tblSteps[工程ID],$BB54)&amp;"")</f>
        <v/>
      </c>
      <c r="B54" s="88" t="str">
        <f>IF($BB54="","",IF($BC54=$BC53,"",$BC54&amp;" "&amp;INDEX(tblSteps[案件名],$BB54)))</f>
        <v/>
      </c>
      <c r="C54" s="88" t="str">
        <f>IF($BB54="","",INDEX(tblSteps[工程名],$BB54)&amp;"")</f>
        <v/>
      </c>
      <c r="D54" s="89" t="str">
        <f>IF($BB54="","",INDEX(tblSteps[担当],$BB54)&amp;"")</f>
        <v/>
      </c>
      <c r="E54" s="89" t="str">
        <f>IF($BB54="","",INDEX(tblSteps[状態],$BB54)&amp;"")</f>
        <v/>
      </c>
      <c r="F54" s="90" t="str">
        <f>IF($BB54="","",IF(ISNUMBER(INDEX(tblSteps[進捗率],$BB54)),INDEX(tblSteps[進捗率],$BB54),""))</f>
        <v/>
      </c>
      <c r="G54" s="91" t="str">
        <f>IF($BB54="","",IF(ISNUMBER(INDEX(tblSteps[計画開始日],$BB54)),INDEX(tblSteps[計画開始日],$BB54),"未入力"))</f>
        <v/>
      </c>
      <c r="H54" s="91" t="str">
        <f>IF($BB54="","",IF(ISNUMBER(INDEX(tblSteps[計画終了日],$BB54)),INDEX(tblSteps[計画終了日],$BB54),"未入力"))</f>
        <v/>
      </c>
      <c r="I54" s="91" t="str">
        <f>IF($BB54="","",IF(ISNUMBER(INDEX(tblSteps[完了見込日],$BB54)),INDEX(tblSteps[完了見込日],$BB54),""))</f>
        <v/>
      </c>
      <c r="J54" s="92" t="str">
        <f>IF($BB54="","",INDEX(tblSteps[注意短],$BB54)&amp;"")</f>
        <v/>
      </c>
      <c r="K54" s="93" t="str">
        <f>IF($BB54="","",IF(K$6=$BJ54,"◆",IF(AND(K$6&gt;=$BF54,K$6&lt;=$BG54),IF(AND(K$6&gt;=$BD54,K$6&lt;=$BE54),"実","外"),IF(AND(K$6&gt;=$BD54,K$6&lt;=$BE54),"計",IF(AND(K$6&gt;=$BH54,K$6&lt;=$BI54),"遅","")))))</f>
        <v/>
      </c>
      <c r="L54" s="93" t="str">
        <f>IF($BB54="","",IF(L$6=$BJ54,"◆",IF(AND(L$6&gt;=$BF54,L$6&lt;=$BG54),IF(AND(L$6&gt;=$BD54,L$6&lt;=$BE54),"実","外"),IF(AND(L$6&gt;=$BD54,L$6&lt;=$BE54),"計",IF(AND(L$6&gt;=$BH54,L$6&lt;=$BI54),"遅","")))))</f>
        <v/>
      </c>
      <c r="M54" s="93" t="str">
        <f>IF($BB54="","",IF(M$6=$BJ54,"◆",IF(AND(M$6&gt;=$BF54,M$6&lt;=$BG54),IF(AND(M$6&gt;=$BD54,M$6&lt;=$BE54),"実","外"),IF(AND(M$6&gt;=$BD54,M$6&lt;=$BE54),"計",IF(AND(M$6&gt;=$BH54,M$6&lt;=$BI54),"遅","")))))</f>
        <v/>
      </c>
      <c r="N54" s="93" t="str">
        <f>IF($BB54="","",IF(N$6=$BJ54,"◆",IF(AND(N$6&gt;=$BF54,N$6&lt;=$BG54),IF(AND(N$6&gt;=$BD54,N$6&lt;=$BE54),"実","外"),IF(AND(N$6&gt;=$BD54,N$6&lt;=$BE54),"計",IF(AND(N$6&gt;=$BH54,N$6&lt;=$BI54),"遅","")))))</f>
        <v/>
      </c>
      <c r="O54" s="93" t="str">
        <f>IF($BB54="","",IF(O$6=$BJ54,"◆",IF(AND(O$6&gt;=$BF54,O$6&lt;=$BG54),IF(AND(O$6&gt;=$BD54,O$6&lt;=$BE54),"実","外"),IF(AND(O$6&gt;=$BD54,O$6&lt;=$BE54),"計",IF(AND(O$6&gt;=$BH54,O$6&lt;=$BI54),"遅","")))))</f>
        <v/>
      </c>
      <c r="P54" s="93" t="str">
        <f>IF($BB54="","",IF(P$6=$BJ54,"◆",IF(AND(P$6&gt;=$BF54,P$6&lt;=$BG54),IF(AND(P$6&gt;=$BD54,P$6&lt;=$BE54),"実","外"),IF(AND(P$6&gt;=$BD54,P$6&lt;=$BE54),"計",IF(AND(P$6&gt;=$BH54,P$6&lt;=$BI54),"遅","")))))</f>
        <v/>
      </c>
      <c r="Q54" s="93" t="str">
        <f>IF($BB54="","",IF(Q$6=$BJ54,"◆",IF(AND(Q$6&gt;=$BF54,Q$6&lt;=$BG54),IF(AND(Q$6&gt;=$BD54,Q$6&lt;=$BE54),"実","外"),IF(AND(Q$6&gt;=$BD54,Q$6&lt;=$BE54),"計",IF(AND(Q$6&gt;=$BH54,Q$6&lt;=$BI54),"遅","")))))</f>
        <v/>
      </c>
      <c r="R54" s="93" t="str">
        <f>IF($BB54="","",IF(R$6=$BJ54,"◆",IF(AND(R$6&gt;=$BF54,R$6&lt;=$BG54),IF(AND(R$6&gt;=$BD54,R$6&lt;=$BE54),"実","外"),IF(AND(R$6&gt;=$BD54,R$6&lt;=$BE54),"計",IF(AND(R$6&gt;=$BH54,R$6&lt;=$BI54),"遅","")))))</f>
        <v/>
      </c>
      <c r="S54" s="93" t="str">
        <f>IF($BB54="","",IF(S$6=$BJ54,"◆",IF(AND(S$6&gt;=$BF54,S$6&lt;=$BG54),IF(AND(S$6&gt;=$BD54,S$6&lt;=$BE54),"実","外"),IF(AND(S$6&gt;=$BD54,S$6&lt;=$BE54),"計",IF(AND(S$6&gt;=$BH54,S$6&lt;=$BI54),"遅","")))))</f>
        <v/>
      </c>
      <c r="T54" s="93" t="str">
        <f>IF($BB54="","",IF(T$6=$BJ54,"◆",IF(AND(T$6&gt;=$BF54,T$6&lt;=$BG54),IF(AND(T$6&gt;=$BD54,T$6&lt;=$BE54),"実","外"),IF(AND(T$6&gt;=$BD54,T$6&lt;=$BE54),"計",IF(AND(T$6&gt;=$BH54,T$6&lt;=$BI54),"遅","")))))</f>
        <v/>
      </c>
      <c r="U54" s="93" t="str">
        <f>IF($BB54="","",IF(U$6=$BJ54,"◆",IF(AND(U$6&gt;=$BF54,U$6&lt;=$BG54),IF(AND(U$6&gt;=$BD54,U$6&lt;=$BE54),"実","外"),IF(AND(U$6&gt;=$BD54,U$6&lt;=$BE54),"計",IF(AND(U$6&gt;=$BH54,U$6&lt;=$BI54),"遅","")))))</f>
        <v/>
      </c>
      <c r="V54" s="93" t="str">
        <f>IF($BB54="","",IF(V$6=$BJ54,"◆",IF(AND(V$6&gt;=$BF54,V$6&lt;=$BG54),IF(AND(V$6&gt;=$BD54,V$6&lt;=$BE54),"実","外"),IF(AND(V$6&gt;=$BD54,V$6&lt;=$BE54),"計",IF(AND(V$6&gt;=$BH54,V$6&lt;=$BI54),"遅","")))))</f>
        <v/>
      </c>
      <c r="W54" s="93" t="str">
        <f>IF($BB54="","",IF(W$6=$BJ54,"◆",IF(AND(W$6&gt;=$BF54,W$6&lt;=$BG54),IF(AND(W$6&gt;=$BD54,W$6&lt;=$BE54),"実","外"),IF(AND(W$6&gt;=$BD54,W$6&lt;=$BE54),"計",IF(AND(W$6&gt;=$BH54,W$6&lt;=$BI54),"遅","")))))</f>
        <v/>
      </c>
      <c r="X54" s="93" t="str">
        <f>IF($BB54="","",IF(X$6=$BJ54,"◆",IF(AND(X$6&gt;=$BF54,X$6&lt;=$BG54),IF(AND(X$6&gt;=$BD54,X$6&lt;=$BE54),"実","外"),IF(AND(X$6&gt;=$BD54,X$6&lt;=$BE54),"計",IF(AND(X$6&gt;=$BH54,X$6&lt;=$BI54),"遅","")))))</f>
        <v/>
      </c>
      <c r="Y54" s="93" t="str">
        <f>IF($BB54="","",IF(Y$6=$BJ54,"◆",IF(AND(Y$6&gt;=$BF54,Y$6&lt;=$BG54),IF(AND(Y$6&gt;=$BD54,Y$6&lt;=$BE54),"実","外"),IF(AND(Y$6&gt;=$BD54,Y$6&lt;=$BE54),"計",IF(AND(Y$6&gt;=$BH54,Y$6&lt;=$BI54),"遅","")))))</f>
        <v/>
      </c>
      <c r="Z54" s="93" t="str">
        <f>IF($BB54="","",IF(Z$6=$BJ54,"◆",IF(AND(Z$6&gt;=$BF54,Z$6&lt;=$BG54),IF(AND(Z$6&gt;=$BD54,Z$6&lt;=$BE54),"実","外"),IF(AND(Z$6&gt;=$BD54,Z$6&lt;=$BE54),"計",IF(AND(Z$6&gt;=$BH54,Z$6&lt;=$BI54),"遅","")))))</f>
        <v/>
      </c>
      <c r="AA54" s="93" t="str">
        <f>IF($BB54="","",IF(AA$6=$BJ54,"◆",IF(AND(AA$6&gt;=$BF54,AA$6&lt;=$BG54),IF(AND(AA$6&gt;=$BD54,AA$6&lt;=$BE54),"実","外"),IF(AND(AA$6&gt;=$BD54,AA$6&lt;=$BE54),"計",IF(AND(AA$6&gt;=$BH54,AA$6&lt;=$BI54),"遅","")))))</f>
        <v/>
      </c>
      <c r="AB54" s="93" t="str">
        <f>IF($BB54="","",IF(AB$6=$BJ54,"◆",IF(AND(AB$6&gt;=$BF54,AB$6&lt;=$BG54),IF(AND(AB$6&gt;=$BD54,AB$6&lt;=$BE54),"実","外"),IF(AND(AB$6&gt;=$BD54,AB$6&lt;=$BE54),"計",IF(AND(AB$6&gt;=$BH54,AB$6&lt;=$BI54),"遅","")))))</f>
        <v/>
      </c>
      <c r="AC54" s="93" t="str">
        <f>IF($BB54="","",IF(AC$6=$BJ54,"◆",IF(AND(AC$6&gt;=$BF54,AC$6&lt;=$BG54),IF(AND(AC$6&gt;=$BD54,AC$6&lt;=$BE54),"実","外"),IF(AND(AC$6&gt;=$BD54,AC$6&lt;=$BE54),"計",IF(AND(AC$6&gt;=$BH54,AC$6&lt;=$BI54),"遅","")))))</f>
        <v/>
      </c>
      <c r="AD54" s="93" t="str">
        <f>IF($BB54="","",IF(AD$6=$BJ54,"◆",IF(AND(AD$6&gt;=$BF54,AD$6&lt;=$BG54),IF(AND(AD$6&gt;=$BD54,AD$6&lt;=$BE54),"実","外"),IF(AND(AD$6&gt;=$BD54,AD$6&lt;=$BE54),"計",IF(AND(AD$6&gt;=$BH54,AD$6&lt;=$BI54),"遅","")))))</f>
        <v/>
      </c>
      <c r="AE54" s="93" t="str">
        <f>IF($BB54="","",IF(AE$6=$BJ54,"◆",IF(AND(AE$6&gt;=$BF54,AE$6&lt;=$BG54),IF(AND(AE$6&gt;=$BD54,AE$6&lt;=$BE54),"実","外"),IF(AND(AE$6&gt;=$BD54,AE$6&lt;=$BE54),"計",IF(AND(AE$6&gt;=$BH54,AE$6&lt;=$BI54),"遅","")))))</f>
        <v/>
      </c>
      <c r="AF54" s="93" t="str">
        <f>IF($BB54="","",IF(AF$6=$BJ54,"◆",IF(AND(AF$6&gt;=$BF54,AF$6&lt;=$BG54),IF(AND(AF$6&gt;=$BD54,AF$6&lt;=$BE54),"実","外"),IF(AND(AF$6&gt;=$BD54,AF$6&lt;=$BE54),"計",IF(AND(AF$6&gt;=$BH54,AF$6&lt;=$BI54),"遅","")))))</f>
        <v/>
      </c>
      <c r="AG54" s="93" t="str">
        <f>IF($BB54="","",IF(AG$6=$BJ54,"◆",IF(AND(AG$6&gt;=$BF54,AG$6&lt;=$BG54),IF(AND(AG$6&gt;=$BD54,AG$6&lt;=$BE54),"実","外"),IF(AND(AG$6&gt;=$BD54,AG$6&lt;=$BE54),"計",IF(AND(AG$6&gt;=$BH54,AG$6&lt;=$BI54),"遅","")))))</f>
        <v/>
      </c>
      <c r="AH54" s="93" t="str">
        <f>IF($BB54="","",IF(AH$6=$BJ54,"◆",IF(AND(AH$6&gt;=$BF54,AH$6&lt;=$BG54),IF(AND(AH$6&gt;=$BD54,AH$6&lt;=$BE54),"実","外"),IF(AND(AH$6&gt;=$BD54,AH$6&lt;=$BE54),"計",IF(AND(AH$6&gt;=$BH54,AH$6&lt;=$BI54),"遅","")))))</f>
        <v/>
      </c>
      <c r="AI54" s="93" t="str">
        <f>IF($BB54="","",IF(AI$6=$BJ54,"◆",IF(AND(AI$6&gt;=$BF54,AI$6&lt;=$BG54),IF(AND(AI$6&gt;=$BD54,AI$6&lt;=$BE54),"実","外"),IF(AND(AI$6&gt;=$BD54,AI$6&lt;=$BE54),"計",IF(AND(AI$6&gt;=$BH54,AI$6&lt;=$BI54),"遅","")))))</f>
        <v/>
      </c>
      <c r="AJ54" s="93" t="str">
        <f>IF($BB54="","",IF(AJ$6=$BJ54,"◆",IF(AND(AJ$6&gt;=$BF54,AJ$6&lt;=$BG54),IF(AND(AJ$6&gt;=$BD54,AJ$6&lt;=$BE54),"実","外"),IF(AND(AJ$6&gt;=$BD54,AJ$6&lt;=$BE54),"計",IF(AND(AJ$6&gt;=$BH54,AJ$6&lt;=$BI54),"遅","")))))</f>
        <v/>
      </c>
      <c r="AK54" s="93" t="str">
        <f>IF($BB54="","",IF(AK$6=$BJ54,"◆",IF(AND(AK$6&gt;=$BF54,AK$6&lt;=$BG54),IF(AND(AK$6&gt;=$BD54,AK$6&lt;=$BE54),"実","外"),IF(AND(AK$6&gt;=$BD54,AK$6&lt;=$BE54),"計",IF(AND(AK$6&gt;=$BH54,AK$6&lt;=$BI54),"遅","")))))</f>
        <v/>
      </c>
      <c r="AL54" s="93" t="str">
        <f>IF($BB54="","",IF(AL$6=$BJ54,"◆",IF(AND(AL$6&gt;=$BF54,AL$6&lt;=$BG54),IF(AND(AL$6&gt;=$BD54,AL$6&lt;=$BE54),"実","外"),IF(AND(AL$6&gt;=$BD54,AL$6&lt;=$BE54),"計",IF(AND(AL$6&gt;=$BH54,AL$6&lt;=$BI54),"遅","")))))</f>
        <v/>
      </c>
      <c r="AM54" s="93" t="str">
        <f>IF($BB54="","",IF(AM$6=$BJ54,"◆",IF(AND(AM$6&gt;=$BF54,AM$6&lt;=$BG54),IF(AND(AM$6&gt;=$BD54,AM$6&lt;=$BE54),"実","外"),IF(AND(AM$6&gt;=$BD54,AM$6&lt;=$BE54),"計",IF(AND(AM$6&gt;=$BH54,AM$6&lt;=$BI54),"遅","")))))</f>
        <v/>
      </c>
      <c r="AN54" s="93" t="str">
        <f>IF($BB54="","",IF(AN$6=$BJ54,"◆",IF(AND(AN$6&gt;=$BF54,AN$6&lt;=$BG54),IF(AND(AN$6&gt;=$BD54,AN$6&lt;=$BE54),"実","外"),IF(AND(AN$6&gt;=$BD54,AN$6&lt;=$BE54),"計",IF(AND(AN$6&gt;=$BH54,AN$6&lt;=$BI54),"遅","")))))</f>
        <v/>
      </c>
      <c r="AO54" s="93" t="str">
        <f>IF($BB54="","",IF(AO$6=$BJ54,"◆",IF(AND(AO$6&gt;=$BF54,AO$6&lt;=$BG54),IF(AND(AO$6&gt;=$BD54,AO$6&lt;=$BE54),"実","外"),IF(AND(AO$6&gt;=$BD54,AO$6&lt;=$BE54),"計",IF(AND(AO$6&gt;=$BH54,AO$6&lt;=$BI54),"遅","")))))</f>
        <v/>
      </c>
      <c r="AP54" s="93" t="str">
        <f>IF($BB54="","",IF(AP$6=$BJ54,"◆",IF(AND(AP$6&gt;=$BF54,AP$6&lt;=$BG54),IF(AND(AP$6&gt;=$BD54,AP$6&lt;=$BE54),"実","外"),IF(AND(AP$6&gt;=$BD54,AP$6&lt;=$BE54),"計",IF(AND(AP$6&gt;=$BH54,AP$6&lt;=$BI54),"遅","")))))</f>
        <v/>
      </c>
      <c r="AQ54" s="93" t="str">
        <f>IF($BB54="","",IF(AQ$6=$BJ54,"◆",IF(AND(AQ$6&gt;=$BF54,AQ$6&lt;=$BG54),IF(AND(AQ$6&gt;=$BD54,AQ$6&lt;=$BE54),"実","外"),IF(AND(AQ$6&gt;=$BD54,AQ$6&lt;=$BE54),"計",IF(AND(AQ$6&gt;=$BH54,AQ$6&lt;=$BI54),"遅","")))))</f>
        <v/>
      </c>
      <c r="AR54" s="93" t="str">
        <f>IF($BB54="","",IF(AR$6=$BJ54,"◆",IF(AND(AR$6&gt;=$BF54,AR$6&lt;=$BG54),IF(AND(AR$6&gt;=$BD54,AR$6&lt;=$BE54),"実","外"),IF(AND(AR$6&gt;=$BD54,AR$6&lt;=$BE54),"計",IF(AND(AR$6&gt;=$BH54,AR$6&lt;=$BI54),"遅","")))))</f>
        <v/>
      </c>
      <c r="AS54" s="93" t="str">
        <f>IF($BB54="","",IF(AS$6=$BJ54,"◆",IF(AND(AS$6&gt;=$BF54,AS$6&lt;=$BG54),IF(AND(AS$6&gt;=$BD54,AS$6&lt;=$BE54),"実","外"),IF(AND(AS$6&gt;=$BD54,AS$6&lt;=$BE54),"計",IF(AND(AS$6&gt;=$BH54,AS$6&lt;=$BI54),"遅","")))))</f>
        <v/>
      </c>
      <c r="AT54" s="93" t="str">
        <f>IF($BB54="","",IF(AT$6=$BJ54,"◆",IF(AND(AT$6&gt;=$BF54,AT$6&lt;=$BG54),IF(AND(AT$6&gt;=$BD54,AT$6&lt;=$BE54),"実","外"),IF(AND(AT$6&gt;=$BD54,AT$6&lt;=$BE54),"計",IF(AND(AT$6&gt;=$BH54,AT$6&lt;=$BI54),"遅","")))))</f>
        <v/>
      </c>
      <c r="AU54" s="93" t="str">
        <f>IF($BB54="","",IF(AU$6=$BJ54,"◆",IF(AND(AU$6&gt;=$BF54,AU$6&lt;=$BG54),IF(AND(AU$6&gt;=$BD54,AU$6&lt;=$BE54),"実","外"),IF(AND(AU$6&gt;=$BD54,AU$6&lt;=$BE54),"計",IF(AND(AU$6&gt;=$BH54,AU$6&lt;=$BI54),"遅","")))))</f>
        <v/>
      </c>
      <c r="AV54" s="93" t="str">
        <f>IF($BB54="","",IF(AV$6=$BJ54,"◆",IF(AND(AV$6&gt;=$BF54,AV$6&lt;=$BG54),IF(AND(AV$6&gt;=$BD54,AV$6&lt;=$BE54),"実","外"),IF(AND(AV$6&gt;=$BD54,AV$6&lt;=$BE54),"計",IF(AND(AV$6&gt;=$BH54,AV$6&lt;=$BI54),"遅","")))))</f>
        <v/>
      </c>
      <c r="AW54" s="93" t="str">
        <f>IF($BB54="","",IF(AW$6=$BJ54,"◆",IF(AND(AW$6&gt;=$BF54,AW$6&lt;=$BG54),IF(AND(AW$6&gt;=$BD54,AW$6&lt;=$BE54),"実","外"),IF(AND(AW$6&gt;=$BD54,AW$6&lt;=$BE54),"計",IF(AND(AW$6&gt;=$BH54,AW$6&lt;=$BI54),"遅","")))))</f>
        <v/>
      </c>
      <c r="AX54" s="93" t="str">
        <f>IF($BB54="","",IF(AX$6=$BJ54,"◆",IF(AND(AX$6&gt;=$BF54,AX$6&lt;=$BG54),IF(AND(AX$6&gt;=$BD54,AX$6&lt;=$BE54),"実","外"),IF(AND(AX$6&gt;=$BD54,AX$6&lt;=$BE54),"計",IF(AND(AX$6&gt;=$BH54,AX$6&lt;=$BI54),"遅","")))))</f>
        <v/>
      </c>
      <c r="AY54" s="93" t="str">
        <f>IF($BB54="","",IF(AY$6=$BJ54,"◆",IF(AND(AY$6&gt;=$BF54,AY$6&lt;=$BG54),IF(AND(AY$6&gt;=$BD54,AY$6&lt;=$BE54),"実","外"),IF(AND(AY$6&gt;=$BD54,AY$6&lt;=$BE54),"計",IF(AND(AY$6&gt;=$BH54,AY$6&lt;=$BI54),"遅","")))))</f>
        <v/>
      </c>
      <c r="AZ54" s="93" t="str">
        <f>IF($BB54="","",IF(AZ$6=$BJ54,"◆",IF(AND(AZ$6&gt;=$BF54,AZ$6&lt;=$BG54),IF(AND(AZ$6&gt;=$BD54,AZ$6&lt;=$BE54),"実","外"),IF(AND(AZ$6&gt;=$BD54,AZ$6&lt;=$BE54),"計",IF(AND(AZ$6&gt;=$BH54,AZ$6&lt;=$BI54),"遅","")))))</f>
        <v/>
      </c>
      <c r="BB54" t="str">
        <f>IF(47&gt;COUNTIF(tblSteps[日別対象],1),"",IFERROR(MATCH(47,tblSteps[日別順位],0),""))</f>
        <v/>
      </c>
      <c r="BC54" t="str">
        <f>IF($BB54="","",INDEX(tblSteps[案件ID],$BB54)&amp;"")</f>
        <v/>
      </c>
      <c r="BD54" t="str">
        <f>IF($BB54="","",INDEX(tblSteps[計開],$BB54))</f>
        <v/>
      </c>
      <c r="BE54" t="str">
        <f>IF($BB54="","",INDEX(tblSteps[計終],$BB54))</f>
        <v/>
      </c>
      <c r="BF54" t="str">
        <f>IF($BB54="","",INDEX(tblSteps[実開],$BB54))</f>
        <v/>
      </c>
      <c r="BG54" t="str">
        <f>IF($BB54="","",INDEX(tblSteps[実終],$BB54))</f>
        <v/>
      </c>
      <c r="BH54" t="str">
        <f>IF($BB54="","",INDEX(tblSteps[遅開],$BB54))</f>
        <v/>
      </c>
      <c r="BI54" t="str">
        <f>IF($BB54="","",INDEX(tblSteps[遅終],$BB54))</f>
        <v/>
      </c>
      <c r="BJ54" t="str">
        <f>IF($BB54="","",INDEX(tblSteps[納期値],$BB54))</f>
        <v/>
      </c>
    </row>
    <row r="55" ht="18" customHeight="1">
      <c r="A55" s="89" t="str">
        <f>IF($BB55="","",INDEX(tblSteps[工程ID],$BB55)&amp;"")</f>
        <v/>
      </c>
      <c r="B55" s="88" t="str">
        <f>IF($BB55="","",IF($BC55=$BC54,"",$BC55&amp;" "&amp;INDEX(tblSteps[案件名],$BB55)))</f>
        <v/>
      </c>
      <c r="C55" s="88" t="str">
        <f>IF($BB55="","",INDEX(tblSteps[工程名],$BB55)&amp;"")</f>
        <v/>
      </c>
      <c r="D55" s="89" t="str">
        <f>IF($BB55="","",INDEX(tblSteps[担当],$BB55)&amp;"")</f>
        <v/>
      </c>
      <c r="E55" s="89" t="str">
        <f>IF($BB55="","",INDEX(tblSteps[状態],$BB55)&amp;"")</f>
        <v/>
      </c>
      <c r="F55" s="90" t="str">
        <f>IF($BB55="","",IF(ISNUMBER(INDEX(tblSteps[進捗率],$BB55)),INDEX(tblSteps[進捗率],$BB55),""))</f>
        <v/>
      </c>
      <c r="G55" s="91" t="str">
        <f>IF($BB55="","",IF(ISNUMBER(INDEX(tblSteps[計画開始日],$BB55)),INDEX(tblSteps[計画開始日],$BB55),"未入力"))</f>
        <v/>
      </c>
      <c r="H55" s="91" t="str">
        <f>IF($BB55="","",IF(ISNUMBER(INDEX(tblSteps[計画終了日],$BB55)),INDEX(tblSteps[計画終了日],$BB55),"未入力"))</f>
        <v/>
      </c>
      <c r="I55" s="91" t="str">
        <f>IF($BB55="","",IF(ISNUMBER(INDEX(tblSteps[完了見込日],$BB55)),INDEX(tblSteps[完了見込日],$BB55),""))</f>
        <v/>
      </c>
      <c r="J55" s="92" t="str">
        <f>IF($BB55="","",INDEX(tblSteps[注意短],$BB55)&amp;"")</f>
        <v/>
      </c>
      <c r="K55" s="93" t="str">
        <f>IF($BB55="","",IF(K$6=$BJ55,"◆",IF(AND(K$6&gt;=$BF55,K$6&lt;=$BG55),IF(AND(K$6&gt;=$BD55,K$6&lt;=$BE55),"実","外"),IF(AND(K$6&gt;=$BD55,K$6&lt;=$BE55),"計",IF(AND(K$6&gt;=$BH55,K$6&lt;=$BI55),"遅","")))))</f>
        <v/>
      </c>
      <c r="L55" s="93" t="str">
        <f>IF($BB55="","",IF(L$6=$BJ55,"◆",IF(AND(L$6&gt;=$BF55,L$6&lt;=$BG55),IF(AND(L$6&gt;=$BD55,L$6&lt;=$BE55),"実","外"),IF(AND(L$6&gt;=$BD55,L$6&lt;=$BE55),"計",IF(AND(L$6&gt;=$BH55,L$6&lt;=$BI55),"遅","")))))</f>
        <v/>
      </c>
      <c r="M55" s="93" t="str">
        <f>IF($BB55="","",IF(M$6=$BJ55,"◆",IF(AND(M$6&gt;=$BF55,M$6&lt;=$BG55),IF(AND(M$6&gt;=$BD55,M$6&lt;=$BE55),"実","外"),IF(AND(M$6&gt;=$BD55,M$6&lt;=$BE55),"計",IF(AND(M$6&gt;=$BH55,M$6&lt;=$BI55),"遅","")))))</f>
        <v/>
      </c>
      <c r="N55" s="93" t="str">
        <f>IF($BB55="","",IF(N$6=$BJ55,"◆",IF(AND(N$6&gt;=$BF55,N$6&lt;=$BG55),IF(AND(N$6&gt;=$BD55,N$6&lt;=$BE55),"実","外"),IF(AND(N$6&gt;=$BD55,N$6&lt;=$BE55),"計",IF(AND(N$6&gt;=$BH55,N$6&lt;=$BI55),"遅","")))))</f>
        <v/>
      </c>
      <c r="O55" s="93" t="str">
        <f>IF($BB55="","",IF(O$6=$BJ55,"◆",IF(AND(O$6&gt;=$BF55,O$6&lt;=$BG55),IF(AND(O$6&gt;=$BD55,O$6&lt;=$BE55),"実","外"),IF(AND(O$6&gt;=$BD55,O$6&lt;=$BE55),"計",IF(AND(O$6&gt;=$BH55,O$6&lt;=$BI55),"遅","")))))</f>
        <v/>
      </c>
      <c r="P55" s="93" t="str">
        <f>IF($BB55="","",IF(P$6=$BJ55,"◆",IF(AND(P$6&gt;=$BF55,P$6&lt;=$BG55),IF(AND(P$6&gt;=$BD55,P$6&lt;=$BE55),"実","外"),IF(AND(P$6&gt;=$BD55,P$6&lt;=$BE55),"計",IF(AND(P$6&gt;=$BH55,P$6&lt;=$BI55),"遅","")))))</f>
        <v/>
      </c>
      <c r="Q55" s="93" t="str">
        <f>IF($BB55="","",IF(Q$6=$BJ55,"◆",IF(AND(Q$6&gt;=$BF55,Q$6&lt;=$BG55),IF(AND(Q$6&gt;=$BD55,Q$6&lt;=$BE55),"実","外"),IF(AND(Q$6&gt;=$BD55,Q$6&lt;=$BE55),"計",IF(AND(Q$6&gt;=$BH55,Q$6&lt;=$BI55),"遅","")))))</f>
        <v/>
      </c>
      <c r="R55" s="93" t="str">
        <f>IF($BB55="","",IF(R$6=$BJ55,"◆",IF(AND(R$6&gt;=$BF55,R$6&lt;=$BG55),IF(AND(R$6&gt;=$BD55,R$6&lt;=$BE55),"実","外"),IF(AND(R$6&gt;=$BD55,R$6&lt;=$BE55),"計",IF(AND(R$6&gt;=$BH55,R$6&lt;=$BI55),"遅","")))))</f>
        <v/>
      </c>
      <c r="S55" s="93" t="str">
        <f>IF($BB55="","",IF(S$6=$BJ55,"◆",IF(AND(S$6&gt;=$BF55,S$6&lt;=$BG55),IF(AND(S$6&gt;=$BD55,S$6&lt;=$BE55),"実","外"),IF(AND(S$6&gt;=$BD55,S$6&lt;=$BE55),"計",IF(AND(S$6&gt;=$BH55,S$6&lt;=$BI55),"遅","")))))</f>
        <v/>
      </c>
      <c r="T55" s="93" t="str">
        <f>IF($BB55="","",IF(T$6=$BJ55,"◆",IF(AND(T$6&gt;=$BF55,T$6&lt;=$BG55),IF(AND(T$6&gt;=$BD55,T$6&lt;=$BE55),"実","外"),IF(AND(T$6&gt;=$BD55,T$6&lt;=$BE55),"計",IF(AND(T$6&gt;=$BH55,T$6&lt;=$BI55),"遅","")))))</f>
        <v/>
      </c>
      <c r="U55" s="93" t="str">
        <f>IF($BB55="","",IF(U$6=$BJ55,"◆",IF(AND(U$6&gt;=$BF55,U$6&lt;=$BG55),IF(AND(U$6&gt;=$BD55,U$6&lt;=$BE55),"実","外"),IF(AND(U$6&gt;=$BD55,U$6&lt;=$BE55),"計",IF(AND(U$6&gt;=$BH55,U$6&lt;=$BI55),"遅","")))))</f>
        <v/>
      </c>
      <c r="V55" s="93" t="str">
        <f>IF($BB55="","",IF(V$6=$BJ55,"◆",IF(AND(V$6&gt;=$BF55,V$6&lt;=$BG55),IF(AND(V$6&gt;=$BD55,V$6&lt;=$BE55),"実","外"),IF(AND(V$6&gt;=$BD55,V$6&lt;=$BE55),"計",IF(AND(V$6&gt;=$BH55,V$6&lt;=$BI55),"遅","")))))</f>
        <v/>
      </c>
      <c r="W55" s="93" t="str">
        <f>IF($BB55="","",IF(W$6=$BJ55,"◆",IF(AND(W$6&gt;=$BF55,W$6&lt;=$BG55),IF(AND(W$6&gt;=$BD55,W$6&lt;=$BE55),"実","外"),IF(AND(W$6&gt;=$BD55,W$6&lt;=$BE55),"計",IF(AND(W$6&gt;=$BH55,W$6&lt;=$BI55),"遅","")))))</f>
        <v/>
      </c>
      <c r="X55" s="93" t="str">
        <f>IF($BB55="","",IF(X$6=$BJ55,"◆",IF(AND(X$6&gt;=$BF55,X$6&lt;=$BG55),IF(AND(X$6&gt;=$BD55,X$6&lt;=$BE55),"実","外"),IF(AND(X$6&gt;=$BD55,X$6&lt;=$BE55),"計",IF(AND(X$6&gt;=$BH55,X$6&lt;=$BI55),"遅","")))))</f>
        <v/>
      </c>
      <c r="Y55" s="93" t="str">
        <f>IF($BB55="","",IF(Y$6=$BJ55,"◆",IF(AND(Y$6&gt;=$BF55,Y$6&lt;=$BG55),IF(AND(Y$6&gt;=$BD55,Y$6&lt;=$BE55),"実","外"),IF(AND(Y$6&gt;=$BD55,Y$6&lt;=$BE55),"計",IF(AND(Y$6&gt;=$BH55,Y$6&lt;=$BI55),"遅","")))))</f>
        <v/>
      </c>
      <c r="Z55" s="93" t="str">
        <f>IF($BB55="","",IF(Z$6=$BJ55,"◆",IF(AND(Z$6&gt;=$BF55,Z$6&lt;=$BG55),IF(AND(Z$6&gt;=$BD55,Z$6&lt;=$BE55),"実","外"),IF(AND(Z$6&gt;=$BD55,Z$6&lt;=$BE55),"計",IF(AND(Z$6&gt;=$BH55,Z$6&lt;=$BI55),"遅","")))))</f>
        <v/>
      </c>
      <c r="AA55" s="93" t="str">
        <f>IF($BB55="","",IF(AA$6=$BJ55,"◆",IF(AND(AA$6&gt;=$BF55,AA$6&lt;=$BG55),IF(AND(AA$6&gt;=$BD55,AA$6&lt;=$BE55),"実","外"),IF(AND(AA$6&gt;=$BD55,AA$6&lt;=$BE55),"計",IF(AND(AA$6&gt;=$BH55,AA$6&lt;=$BI55),"遅","")))))</f>
        <v/>
      </c>
      <c r="AB55" s="93" t="str">
        <f>IF($BB55="","",IF(AB$6=$BJ55,"◆",IF(AND(AB$6&gt;=$BF55,AB$6&lt;=$BG55),IF(AND(AB$6&gt;=$BD55,AB$6&lt;=$BE55),"実","外"),IF(AND(AB$6&gt;=$BD55,AB$6&lt;=$BE55),"計",IF(AND(AB$6&gt;=$BH55,AB$6&lt;=$BI55),"遅","")))))</f>
        <v/>
      </c>
      <c r="AC55" s="93" t="str">
        <f>IF($BB55="","",IF(AC$6=$BJ55,"◆",IF(AND(AC$6&gt;=$BF55,AC$6&lt;=$BG55),IF(AND(AC$6&gt;=$BD55,AC$6&lt;=$BE55),"実","外"),IF(AND(AC$6&gt;=$BD55,AC$6&lt;=$BE55),"計",IF(AND(AC$6&gt;=$BH55,AC$6&lt;=$BI55),"遅","")))))</f>
        <v/>
      </c>
      <c r="AD55" s="93" t="str">
        <f>IF($BB55="","",IF(AD$6=$BJ55,"◆",IF(AND(AD$6&gt;=$BF55,AD$6&lt;=$BG55),IF(AND(AD$6&gt;=$BD55,AD$6&lt;=$BE55),"実","外"),IF(AND(AD$6&gt;=$BD55,AD$6&lt;=$BE55),"計",IF(AND(AD$6&gt;=$BH55,AD$6&lt;=$BI55),"遅","")))))</f>
        <v/>
      </c>
      <c r="AE55" s="93" t="str">
        <f>IF($BB55="","",IF(AE$6=$BJ55,"◆",IF(AND(AE$6&gt;=$BF55,AE$6&lt;=$BG55),IF(AND(AE$6&gt;=$BD55,AE$6&lt;=$BE55),"実","外"),IF(AND(AE$6&gt;=$BD55,AE$6&lt;=$BE55),"計",IF(AND(AE$6&gt;=$BH55,AE$6&lt;=$BI55),"遅","")))))</f>
        <v/>
      </c>
      <c r="AF55" s="93" t="str">
        <f>IF($BB55="","",IF(AF$6=$BJ55,"◆",IF(AND(AF$6&gt;=$BF55,AF$6&lt;=$BG55),IF(AND(AF$6&gt;=$BD55,AF$6&lt;=$BE55),"実","外"),IF(AND(AF$6&gt;=$BD55,AF$6&lt;=$BE55),"計",IF(AND(AF$6&gt;=$BH55,AF$6&lt;=$BI55),"遅","")))))</f>
        <v/>
      </c>
      <c r="AG55" s="93" t="str">
        <f>IF($BB55="","",IF(AG$6=$BJ55,"◆",IF(AND(AG$6&gt;=$BF55,AG$6&lt;=$BG55),IF(AND(AG$6&gt;=$BD55,AG$6&lt;=$BE55),"実","外"),IF(AND(AG$6&gt;=$BD55,AG$6&lt;=$BE55),"計",IF(AND(AG$6&gt;=$BH55,AG$6&lt;=$BI55),"遅","")))))</f>
        <v/>
      </c>
      <c r="AH55" s="93" t="str">
        <f>IF($BB55="","",IF(AH$6=$BJ55,"◆",IF(AND(AH$6&gt;=$BF55,AH$6&lt;=$BG55),IF(AND(AH$6&gt;=$BD55,AH$6&lt;=$BE55),"実","外"),IF(AND(AH$6&gt;=$BD55,AH$6&lt;=$BE55),"計",IF(AND(AH$6&gt;=$BH55,AH$6&lt;=$BI55),"遅","")))))</f>
        <v/>
      </c>
      <c r="AI55" s="93" t="str">
        <f>IF($BB55="","",IF(AI$6=$BJ55,"◆",IF(AND(AI$6&gt;=$BF55,AI$6&lt;=$BG55),IF(AND(AI$6&gt;=$BD55,AI$6&lt;=$BE55),"実","外"),IF(AND(AI$6&gt;=$BD55,AI$6&lt;=$BE55),"計",IF(AND(AI$6&gt;=$BH55,AI$6&lt;=$BI55),"遅","")))))</f>
        <v/>
      </c>
      <c r="AJ55" s="93" t="str">
        <f>IF($BB55="","",IF(AJ$6=$BJ55,"◆",IF(AND(AJ$6&gt;=$BF55,AJ$6&lt;=$BG55),IF(AND(AJ$6&gt;=$BD55,AJ$6&lt;=$BE55),"実","外"),IF(AND(AJ$6&gt;=$BD55,AJ$6&lt;=$BE55),"計",IF(AND(AJ$6&gt;=$BH55,AJ$6&lt;=$BI55),"遅","")))))</f>
        <v/>
      </c>
      <c r="AK55" s="93" t="str">
        <f>IF($BB55="","",IF(AK$6=$BJ55,"◆",IF(AND(AK$6&gt;=$BF55,AK$6&lt;=$BG55),IF(AND(AK$6&gt;=$BD55,AK$6&lt;=$BE55),"実","外"),IF(AND(AK$6&gt;=$BD55,AK$6&lt;=$BE55),"計",IF(AND(AK$6&gt;=$BH55,AK$6&lt;=$BI55),"遅","")))))</f>
        <v/>
      </c>
      <c r="AL55" s="93" t="str">
        <f>IF($BB55="","",IF(AL$6=$BJ55,"◆",IF(AND(AL$6&gt;=$BF55,AL$6&lt;=$BG55),IF(AND(AL$6&gt;=$BD55,AL$6&lt;=$BE55),"実","外"),IF(AND(AL$6&gt;=$BD55,AL$6&lt;=$BE55),"計",IF(AND(AL$6&gt;=$BH55,AL$6&lt;=$BI55),"遅","")))))</f>
        <v/>
      </c>
      <c r="AM55" s="93" t="str">
        <f>IF($BB55="","",IF(AM$6=$BJ55,"◆",IF(AND(AM$6&gt;=$BF55,AM$6&lt;=$BG55),IF(AND(AM$6&gt;=$BD55,AM$6&lt;=$BE55),"実","外"),IF(AND(AM$6&gt;=$BD55,AM$6&lt;=$BE55),"計",IF(AND(AM$6&gt;=$BH55,AM$6&lt;=$BI55),"遅","")))))</f>
        <v/>
      </c>
      <c r="AN55" s="93" t="str">
        <f>IF($BB55="","",IF(AN$6=$BJ55,"◆",IF(AND(AN$6&gt;=$BF55,AN$6&lt;=$BG55),IF(AND(AN$6&gt;=$BD55,AN$6&lt;=$BE55),"実","外"),IF(AND(AN$6&gt;=$BD55,AN$6&lt;=$BE55),"計",IF(AND(AN$6&gt;=$BH55,AN$6&lt;=$BI55),"遅","")))))</f>
        <v/>
      </c>
      <c r="AO55" s="93" t="str">
        <f>IF($BB55="","",IF(AO$6=$BJ55,"◆",IF(AND(AO$6&gt;=$BF55,AO$6&lt;=$BG55),IF(AND(AO$6&gt;=$BD55,AO$6&lt;=$BE55),"実","外"),IF(AND(AO$6&gt;=$BD55,AO$6&lt;=$BE55),"計",IF(AND(AO$6&gt;=$BH55,AO$6&lt;=$BI55),"遅","")))))</f>
        <v/>
      </c>
      <c r="AP55" s="93" t="str">
        <f>IF($BB55="","",IF(AP$6=$BJ55,"◆",IF(AND(AP$6&gt;=$BF55,AP$6&lt;=$BG55),IF(AND(AP$6&gt;=$BD55,AP$6&lt;=$BE55),"実","外"),IF(AND(AP$6&gt;=$BD55,AP$6&lt;=$BE55),"計",IF(AND(AP$6&gt;=$BH55,AP$6&lt;=$BI55),"遅","")))))</f>
        <v/>
      </c>
      <c r="AQ55" s="93" t="str">
        <f>IF($BB55="","",IF(AQ$6=$BJ55,"◆",IF(AND(AQ$6&gt;=$BF55,AQ$6&lt;=$BG55),IF(AND(AQ$6&gt;=$BD55,AQ$6&lt;=$BE55),"実","外"),IF(AND(AQ$6&gt;=$BD55,AQ$6&lt;=$BE55),"計",IF(AND(AQ$6&gt;=$BH55,AQ$6&lt;=$BI55),"遅","")))))</f>
        <v/>
      </c>
      <c r="AR55" s="93" t="str">
        <f>IF($BB55="","",IF(AR$6=$BJ55,"◆",IF(AND(AR$6&gt;=$BF55,AR$6&lt;=$BG55),IF(AND(AR$6&gt;=$BD55,AR$6&lt;=$BE55),"実","外"),IF(AND(AR$6&gt;=$BD55,AR$6&lt;=$BE55),"計",IF(AND(AR$6&gt;=$BH55,AR$6&lt;=$BI55),"遅","")))))</f>
        <v/>
      </c>
      <c r="AS55" s="93" t="str">
        <f>IF($BB55="","",IF(AS$6=$BJ55,"◆",IF(AND(AS$6&gt;=$BF55,AS$6&lt;=$BG55),IF(AND(AS$6&gt;=$BD55,AS$6&lt;=$BE55),"実","外"),IF(AND(AS$6&gt;=$BD55,AS$6&lt;=$BE55),"計",IF(AND(AS$6&gt;=$BH55,AS$6&lt;=$BI55),"遅","")))))</f>
        <v/>
      </c>
      <c r="AT55" s="93" t="str">
        <f>IF($BB55="","",IF(AT$6=$BJ55,"◆",IF(AND(AT$6&gt;=$BF55,AT$6&lt;=$BG55),IF(AND(AT$6&gt;=$BD55,AT$6&lt;=$BE55),"実","外"),IF(AND(AT$6&gt;=$BD55,AT$6&lt;=$BE55),"計",IF(AND(AT$6&gt;=$BH55,AT$6&lt;=$BI55),"遅","")))))</f>
        <v/>
      </c>
      <c r="AU55" s="93" t="str">
        <f>IF($BB55="","",IF(AU$6=$BJ55,"◆",IF(AND(AU$6&gt;=$BF55,AU$6&lt;=$BG55),IF(AND(AU$6&gt;=$BD55,AU$6&lt;=$BE55),"実","外"),IF(AND(AU$6&gt;=$BD55,AU$6&lt;=$BE55),"計",IF(AND(AU$6&gt;=$BH55,AU$6&lt;=$BI55),"遅","")))))</f>
        <v/>
      </c>
      <c r="AV55" s="93" t="str">
        <f>IF($BB55="","",IF(AV$6=$BJ55,"◆",IF(AND(AV$6&gt;=$BF55,AV$6&lt;=$BG55),IF(AND(AV$6&gt;=$BD55,AV$6&lt;=$BE55),"実","外"),IF(AND(AV$6&gt;=$BD55,AV$6&lt;=$BE55),"計",IF(AND(AV$6&gt;=$BH55,AV$6&lt;=$BI55),"遅","")))))</f>
        <v/>
      </c>
      <c r="AW55" s="93" t="str">
        <f>IF($BB55="","",IF(AW$6=$BJ55,"◆",IF(AND(AW$6&gt;=$BF55,AW$6&lt;=$BG55),IF(AND(AW$6&gt;=$BD55,AW$6&lt;=$BE55),"実","外"),IF(AND(AW$6&gt;=$BD55,AW$6&lt;=$BE55),"計",IF(AND(AW$6&gt;=$BH55,AW$6&lt;=$BI55),"遅","")))))</f>
        <v/>
      </c>
      <c r="AX55" s="93" t="str">
        <f>IF($BB55="","",IF(AX$6=$BJ55,"◆",IF(AND(AX$6&gt;=$BF55,AX$6&lt;=$BG55),IF(AND(AX$6&gt;=$BD55,AX$6&lt;=$BE55),"実","外"),IF(AND(AX$6&gt;=$BD55,AX$6&lt;=$BE55),"計",IF(AND(AX$6&gt;=$BH55,AX$6&lt;=$BI55),"遅","")))))</f>
        <v/>
      </c>
      <c r="AY55" s="93" t="str">
        <f>IF($BB55="","",IF(AY$6=$BJ55,"◆",IF(AND(AY$6&gt;=$BF55,AY$6&lt;=$BG55),IF(AND(AY$6&gt;=$BD55,AY$6&lt;=$BE55),"実","外"),IF(AND(AY$6&gt;=$BD55,AY$6&lt;=$BE55),"計",IF(AND(AY$6&gt;=$BH55,AY$6&lt;=$BI55),"遅","")))))</f>
        <v/>
      </c>
      <c r="AZ55" s="93" t="str">
        <f>IF($BB55="","",IF(AZ$6=$BJ55,"◆",IF(AND(AZ$6&gt;=$BF55,AZ$6&lt;=$BG55),IF(AND(AZ$6&gt;=$BD55,AZ$6&lt;=$BE55),"実","外"),IF(AND(AZ$6&gt;=$BD55,AZ$6&lt;=$BE55),"計",IF(AND(AZ$6&gt;=$BH55,AZ$6&lt;=$BI55),"遅","")))))</f>
        <v/>
      </c>
      <c r="BB55" t="str">
        <f>IF(48&gt;COUNTIF(tblSteps[日別対象],1),"",IFERROR(MATCH(48,tblSteps[日別順位],0),""))</f>
        <v/>
      </c>
      <c r="BC55" t="str">
        <f>IF($BB55="","",INDEX(tblSteps[案件ID],$BB55)&amp;"")</f>
        <v/>
      </c>
      <c r="BD55" t="str">
        <f>IF($BB55="","",INDEX(tblSteps[計開],$BB55))</f>
        <v/>
      </c>
      <c r="BE55" t="str">
        <f>IF($BB55="","",INDEX(tblSteps[計終],$BB55))</f>
        <v/>
      </c>
      <c r="BF55" t="str">
        <f>IF($BB55="","",INDEX(tblSteps[実開],$BB55))</f>
        <v/>
      </c>
      <c r="BG55" t="str">
        <f>IF($BB55="","",INDEX(tblSteps[実終],$BB55))</f>
        <v/>
      </c>
      <c r="BH55" t="str">
        <f>IF($BB55="","",INDEX(tblSteps[遅開],$BB55))</f>
        <v/>
      </c>
      <c r="BI55" t="str">
        <f>IF($BB55="","",INDEX(tblSteps[遅終],$BB55))</f>
        <v/>
      </c>
      <c r="BJ55" t="str">
        <f>IF($BB55="","",INDEX(tblSteps[納期値],$BB55))</f>
        <v/>
      </c>
    </row>
    <row r="56" ht="18" customHeight="1">
      <c r="A56" s="89" t="str">
        <f>IF($BB56="","",INDEX(tblSteps[工程ID],$BB56)&amp;"")</f>
        <v/>
      </c>
      <c r="B56" s="88" t="str">
        <f>IF($BB56="","",IF($BC56=$BC55,"",$BC56&amp;" "&amp;INDEX(tblSteps[案件名],$BB56)))</f>
        <v/>
      </c>
      <c r="C56" s="88" t="str">
        <f>IF($BB56="","",INDEX(tblSteps[工程名],$BB56)&amp;"")</f>
        <v/>
      </c>
      <c r="D56" s="89" t="str">
        <f>IF($BB56="","",INDEX(tblSteps[担当],$BB56)&amp;"")</f>
        <v/>
      </c>
      <c r="E56" s="89" t="str">
        <f>IF($BB56="","",INDEX(tblSteps[状態],$BB56)&amp;"")</f>
        <v/>
      </c>
      <c r="F56" s="90" t="str">
        <f>IF($BB56="","",IF(ISNUMBER(INDEX(tblSteps[進捗率],$BB56)),INDEX(tblSteps[進捗率],$BB56),""))</f>
        <v/>
      </c>
      <c r="G56" s="91" t="str">
        <f>IF($BB56="","",IF(ISNUMBER(INDEX(tblSteps[計画開始日],$BB56)),INDEX(tblSteps[計画開始日],$BB56),"未入力"))</f>
        <v/>
      </c>
      <c r="H56" s="91" t="str">
        <f>IF($BB56="","",IF(ISNUMBER(INDEX(tblSteps[計画終了日],$BB56)),INDEX(tblSteps[計画終了日],$BB56),"未入力"))</f>
        <v/>
      </c>
      <c r="I56" s="91" t="str">
        <f>IF($BB56="","",IF(ISNUMBER(INDEX(tblSteps[完了見込日],$BB56)),INDEX(tblSteps[完了見込日],$BB56),""))</f>
        <v/>
      </c>
      <c r="J56" s="92" t="str">
        <f>IF($BB56="","",INDEX(tblSteps[注意短],$BB56)&amp;"")</f>
        <v/>
      </c>
      <c r="K56" s="93" t="str">
        <f>IF($BB56="","",IF(K$6=$BJ56,"◆",IF(AND(K$6&gt;=$BF56,K$6&lt;=$BG56),IF(AND(K$6&gt;=$BD56,K$6&lt;=$BE56),"実","外"),IF(AND(K$6&gt;=$BD56,K$6&lt;=$BE56),"計",IF(AND(K$6&gt;=$BH56,K$6&lt;=$BI56),"遅","")))))</f>
        <v/>
      </c>
      <c r="L56" s="93" t="str">
        <f>IF($BB56="","",IF(L$6=$BJ56,"◆",IF(AND(L$6&gt;=$BF56,L$6&lt;=$BG56),IF(AND(L$6&gt;=$BD56,L$6&lt;=$BE56),"実","外"),IF(AND(L$6&gt;=$BD56,L$6&lt;=$BE56),"計",IF(AND(L$6&gt;=$BH56,L$6&lt;=$BI56),"遅","")))))</f>
        <v/>
      </c>
      <c r="M56" s="93" t="str">
        <f>IF($BB56="","",IF(M$6=$BJ56,"◆",IF(AND(M$6&gt;=$BF56,M$6&lt;=$BG56),IF(AND(M$6&gt;=$BD56,M$6&lt;=$BE56),"実","外"),IF(AND(M$6&gt;=$BD56,M$6&lt;=$BE56),"計",IF(AND(M$6&gt;=$BH56,M$6&lt;=$BI56),"遅","")))))</f>
        <v/>
      </c>
      <c r="N56" s="93" t="str">
        <f>IF($BB56="","",IF(N$6=$BJ56,"◆",IF(AND(N$6&gt;=$BF56,N$6&lt;=$BG56),IF(AND(N$6&gt;=$BD56,N$6&lt;=$BE56),"実","外"),IF(AND(N$6&gt;=$BD56,N$6&lt;=$BE56),"計",IF(AND(N$6&gt;=$BH56,N$6&lt;=$BI56),"遅","")))))</f>
        <v/>
      </c>
      <c r="O56" s="93" t="str">
        <f>IF($BB56="","",IF(O$6=$BJ56,"◆",IF(AND(O$6&gt;=$BF56,O$6&lt;=$BG56),IF(AND(O$6&gt;=$BD56,O$6&lt;=$BE56),"実","外"),IF(AND(O$6&gt;=$BD56,O$6&lt;=$BE56),"計",IF(AND(O$6&gt;=$BH56,O$6&lt;=$BI56),"遅","")))))</f>
        <v/>
      </c>
      <c r="P56" s="93" t="str">
        <f>IF($BB56="","",IF(P$6=$BJ56,"◆",IF(AND(P$6&gt;=$BF56,P$6&lt;=$BG56),IF(AND(P$6&gt;=$BD56,P$6&lt;=$BE56),"実","外"),IF(AND(P$6&gt;=$BD56,P$6&lt;=$BE56),"計",IF(AND(P$6&gt;=$BH56,P$6&lt;=$BI56),"遅","")))))</f>
        <v/>
      </c>
      <c r="Q56" s="93" t="str">
        <f>IF($BB56="","",IF(Q$6=$BJ56,"◆",IF(AND(Q$6&gt;=$BF56,Q$6&lt;=$BG56),IF(AND(Q$6&gt;=$BD56,Q$6&lt;=$BE56),"実","外"),IF(AND(Q$6&gt;=$BD56,Q$6&lt;=$BE56),"計",IF(AND(Q$6&gt;=$BH56,Q$6&lt;=$BI56),"遅","")))))</f>
        <v/>
      </c>
      <c r="R56" s="93" t="str">
        <f>IF($BB56="","",IF(R$6=$BJ56,"◆",IF(AND(R$6&gt;=$BF56,R$6&lt;=$BG56),IF(AND(R$6&gt;=$BD56,R$6&lt;=$BE56),"実","外"),IF(AND(R$6&gt;=$BD56,R$6&lt;=$BE56),"計",IF(AND(R$6&gt;=$BH56,R$6&lt;=$BI56),"遅","")))))</f>
        <v/>
      </c>
      <c r="S56" s="93" t="str">
        <f>IF($BB56="","",IF(S$6=$BJ56,"◆",IF(AND(S$6&gt;=$BF56,S$6&lt;=$BG56),IF(AND(S$6&gt;=$BD56,S$6&lt;=$BE56),"実","外"),IF(AND(S$6&gt;=$BD56,S$6&lt;=$BE56),"計",IF(AND(S$6&gt;=$BH56,S$6&lt;=$BI56),"遅","")))))</f>
        <v/>
      </c>
      <c r="T56" s="93" t="str">
        <f>IF($BB56="","",IF(T$6=$BJ56,"◆",IF(AND(T$6&gt;=$BF56,T$6&lt;=$BG56),IF(AND(T$6&gt;=$BD56,T$6&lt;=$BE56),"実","外"),IF(AND(T$6&gt;=$BD56,T$6&lt;=$BE56),"計",IF(AND(T$6&gt;=$BH56,T$6&lt;=$BI56),"遅","")))))</f>
        <v/>
      </c>
      <c r="U56" s="93" t="str">
        <f>IF($BB56="","",IF(U$6=$BJ56,"◆",IF(AND(U$6&gt;=$BF56,U$6&lt;=$BG56),IF(AND(U$6&gt;=$BD56,U$6&lt;=$BE56),"実","外"),IF(AND(U$6&gt;=$BD56,U$6&lt;=$BE56),"計",IF(AND(U$6&gt;=$BH56,U$6&lt;=$BI56),"遅","")))))</f>
        <v/>
      </c>
      <c r="V56" s="93" t="str">
        <f>IF($BB56="","",IF(V$6=$BJ56,"◆",IF(AND(V$6&gt;=$BF56,V$6&lt;=$BG56),IF(AND(V$6&gt;=$BD56,V$6&lt;=$BE56),"実","外"),IF(AND(V$6&gt;=$BD56,V$6&lt;=$BE56),"計",IF(AND(V$6&gt;=$BH56,V$6&lt;=$BI56),"遅","")))))</f>
        <v/>
      </c>
      <c r="W56" s="93" t="str">
        <f>IF($BB56="","",IF(W$6=$BJ56,"◆",IF(AND(W$6&gt;=$BF56,W$6&lt;=$BG56),IF(AND(W$6&gt;=$BD56,W$6&lt;=$BE56),"実","外"),IF(AND(W$6&gt;=$BD56,W$6&lt;=$BE56),"計",IF(AND(W$6&gt;=$BH56,W$6&lt;=$BI56),"遅","")))))</f>
        <v/>
      </c>
      <c r="X56" s="93" t="str">
        <f>IF($BB56="","",IF(X$6=$BJ56,"◆",IF(AND(X$6&gt;=$BF56,X$6&lt;=$BG56),IF(AND(X$6&gt;=$BD56,X$6&lt;=$BE56),"実","外"),IF(AND(X$6&gt;=$BD56,X$6&lt;=$BE56),"計",IF(AND(X$6&gt;=$BH56,X$6&lt;=$BI56),"遅","")))))</f>
        <v/>
      </c>
      <c r="Y56" s="93" t="str">
        <f>IF($BB56="","",IF(Y$6=$BJ56,"◆",IF(AND(Y$6&gt;=$BF56,Y$6&lt;=$BG56),IF(AND(Y$6&gt;=$BD56,Y$6&lt;=$BE56),"実","外"),IF(AND(Y$6&gt;=$BD56,Y$6&lt;=$BE56),"計",IF(AND(Y$6&gt;=$BH56,Y$6&lt;=$BI56),"遅","")))))</f>
        <v/>
      </c>
      <c r="Z56" s="93" t="str">
        <f>IF($BB56="","",IF(Z$6=$BJ56,"◆",IF(AND(Z$6&gt;=$BF56,Z$6&lt;=$BG56),IF(AND(Z$6&gt;=$BD56,Z$6&lt;=$BE56),"実","外"),IF(AND(Z$6&gt;=$BD56,Z$6&lt;=$BE56),"計",IF(AND(Z$6&gt;=$BH56,Z$6&lt;=$BI56),"遅","")))))</f>
        <v/>
      </c>
      <c r="AA56" s="93" t="str">
        <f>IF($BB56="","",IF(AA$6=$BJ56,"◆",IF(AND(AA$6&gt;=$BF56,AA$6&lt;=$BG56),IF(AND(AA$6&gt;=$BD56,AA$6&lt;=$BE56),"実","外"),IF(AND(AA$6&gt;=$BD56,AA$6&lt;=$BE56),"計",IF(AND(AA$6&gt;=$BH56,AA$6&lt;=$BI56),"遅","")))))</f>
        <v/>
      </c>
      <c r="AB56" s="93" t="str">
        <f>IF($BB56="","",IF(AB$6=$BJ56,"◆",IF(AND(AB$6&gt;=$BF56,AB$6&lt;=$BG56),IF(AND(AB$6&gt;=$BD56,AB$6&lt;=$BE56),"実","外"),IF(AND(AB$6&gt;=$BD56,AB$6&lt;=$BE56),"計",IF(AND(AB$6&gt;=$BH56,AB$6&lt;=$BI56),"遅","")))))</f>
        <v/>
      </c>
      <c r="AC56" s="93" t="str">
        <f>IF($BB56="","",IF(AC$6=$BJ56,"◆",IF(AND(AC$6&gt;=$BF56,AC$6&lt;=$BG56),IF(AND(AC$6&gt;=$BD56,AC$6&lt;=$BE56),"実","外"),IF(AND(AC$6&gt;=$BD56,AC$6&lt;=$BE56),"計",IF(AND(AC$6&gt;=$BH56,AC$6&lt;=$BI56),"遅","")))))</f>
        <v/>
      </c>
      <c r="AD56" s="93" t="str">
        <f>IF($BB56="","",IF(AD$6=$BJ56,"◆",IF(AND(AD$6&gt;=$BF56,AD$6&lt;=$BG56),IF(AND(AD$6&gt;=$BD56,AD$6&lt;=$BE56),"実","外"),IF(AND(AD$6&gt;=$BD56,AD$6&lt;=$BE56),"計",IF(AND(AD$6&gt;=$BH56,AD$6&lt;=$BI56),"遅","")))))</f>
        <v/>
      </c>
      <c r="AE56" s="93" t="str">
        <f>IF($BB56="","",IF(AE$6=$BJ56,"◆",IF(AND(AE$6&gt;=$BF56,AE$6&lt;=$BG56),IF(AND(AE$6&gt;=$BD56,AE$6&lt;=$BE56),"実","外"),IF(AND(AE$6&gt;=$BD56,AE$6&lt;=$BE56),"計",IF(AND(AE$6&gt;=$BH56,AE$6&lt;=$BI56),"遅","")))))</f>
        <v/>
      </c>
      <c r="AF56" s="93" t="str">
        <f>IF($BB56="","",IF(AF$6=$BJ56,"◆",IF(AND(AF$6&gt;=$BF56,AF$6&lt;=$BG56),IF(AND(AF$6&gt;=$BD56,AF$6&lt;=$BE56),"実","外"),IF(AND(AF$6&gt;=$BD56,AF$6&lt;=$BE56),"計",IF(AND(AF$6&gt;=$BH56,AF$6&lt;=$BI56),"遅","")))))</f>
        <v/>
      </c>
      <c r="AG56" s="93" t="str">
        <f>IF($BB56="","",IF(AG$6=$BJ56,"◆",IF(AND(AG$6&gt;=$BF56,AG$6&lt;=$BG56),IF(AND(AG$6&gt;=$BD56,AG$6&lt;=$BE56),"実","外"),IF(AND(AG$6&gt;=$BD56,AG$6&lt;=$BE56),"計",IF(AND(AG$6&gt;=$BH56,AG$6&lt;=$BI56),"遅","")))))</f>
        <v/>
      </c>
      <c r="AH56" s="93" t="str">
        <f>IF($BB56="","",IF(AH$6=$BJ56,"◆",IF(AND(AH$6&gt;=$BF56,AH$6&lt;=$BG56),IF(AND(AH$6&gt;=$BD56,AH$6&lt;=$BE56),"実","外"),IF(AND(AH$6&gt;=$BD56,AH$6&lt;=$BE56),"計",IF(AND(AH$6&gt;=$BH56,AH$6&lt;=$BI56),"遅","")))))</f>
        <v/>
      </c>
      <c r="AI56" s="93" t="str">
        <f>IF($BB56="","",IF(AI$6=$BJ56,"◆",IF(AND(AI$6&gt;=$BF56,AI$6&lt;=$BG56),IF(AND(AI$6&gt;=$BD56,AI$6&lt;=$BE56),"実","外"),IF(AND(AI$6&gt;=$BD56,AI$6&lt;=$BE56),"計",IF(AND(AI$6&gt;=$BH56,AI$6&lt;=$BI56),"遅","")))))</f>
        <v/>
      </c>
      <c r="AJ56" s="93" t="str">
        <f>IF($BB56="","",IF(AJ$6=$BJ56,"◆",IF(AND(AJ$6&gt;=$BF56,AJ$6&lt;=$BG56),IF(AND(AJ$6&gt;=$BD56,AJ$6&lt;=$BE56),"実","外"),IF(AND(AJ$6&gt;=$BD56,AJ$6&lt;=$BE56),"計",IF(AND(AJ$6&gt;=$BH56,AJ$6&lt;=$BI56),"遅","")))))</f>
        <v/>
      </c>
      <c r="AK56" s="93" t="str">
        <f>IF($BB56="","",IF(AK$6=$BJ56,"◆",IF(AND(AK$6&gt;=$BF56,AK$6&lt;=$BG56),IF(AND(AK$6&gt;=$BD56,AK$6&lt;=$BE56),"実","外"),IF(AND(AK$6&gt;=$BD56,AK$6&lt;=$BE56),"計",IF(AND(AK$6&gt;=$BH56,AK$6&lt;=$BI56),"遅","")))))</f>
        <v/>
      </c>
      <c r="AL56" s="93" t="str">
        <f>IF($BB56="","",IF(AL$6=$BJ56,"◆",IF(AND(AL$6&gt;=$BF56,AL$6&lt;=$BG56),IF(AND(AL$6&gt;=$BD56,AL$6&lt;=$BE56),"実","外"),IF(AND(AL$6&gt;=$BD56,AL$6&lt;=$BE56),"計",IF(AND(AL$6&gt;=$BH56,AL$6&lt;=$BI56),"遅","")))))</f>
        <v/>
      </c>
      <c r="AM56" s="93" t="str">
        <f>IF($BB56="","",IF(AM$6=$BJ56,"◆",IF(AND(AM$6&gt;=$BF56,AM$6&lt;=$BG56),IF(AND(AM$6&gt;=$BD56,AM$6&lt;=$BE56),"実","外"),IF(AND(AM$6&gt;=$BD56,AM$6&lt;=$BE56),"計",IF(AND(AM$6&gt;=$BH56,AM$6&lt;=$BI56),"遅","")))))</f>
        <v/>
      </c>
      <c r="AN56" s="93" t="str">
        <f>IF($BB56="","",IF(AN$6=$BJ56,"◆",IF(AND(AN$6&gt;=$BF56,AN$6&lt;=$BG56),IF(AND(AN$6&gt;=$BD56,AN$6&lt;=$BE56),"実","外"),IF(AND(AN$6&gt;=$BD56,AN$6&lt;=$BE56),"計",IF(AND(AN$6&gt;=$BH56,AN$6&lt;=$BI56),"遅","")))))</f>
        <v/>
      </c>
      <c r="AO56" s="93" t="str">
        <f>IF($BB56="","",IF(AO$6=$BJ56,"◆",IF(AND(AO$6&gt;=$BF56,AO$6&lt;=$BG56),IF(AND(AO$6&gt;=$BD56,AO$6&lt;=$BE56),"実","外"),IF(AND(AO$6&gt;=$BD56,AO$6&lt;=$BE56),"計",IF(AND(AO$6&gt;=$BH56,AO$6&lt;=$BI56),"遅","")))))</f>
        <v/>
      </c>
      <c r="AP56" s="93" t="str">
        <f>IF($BB56="","",IF(AP$6=$BJ56,"◆",IF(AND(AP$6&gt;=$BF56,AP$6&lt;=$BG56),IF(AND(AP$6&gt;=$BD56,AP$6&lt;=$BE56),"実","外"),IF(AND(AP$6&gt;=$BD56,AP$6&lt;=$BE56),"計",IF(AND(AP$6&gt;=$BH56,AP$6&lt;=$BI56),"遅","")))))</f>
        <v/>
      </c>
      <c r="AQ56" s="93" t="str">
        <f>IF($BB56="","",IF(AQ$6=$BJ56,"◆",IF(AND(AQ$6&gt;=$BF56,AQ$6&lt;=$BG56),IF(AND(AQ$6&gt;=$BD56,AQ$6&lt;=$BE56),"実","外"),IF(AND(AQ$6&gt;=$BD56,AQ$6&lt;=$BE56),"計",IF(AND(AQ$6&gt;=$BH56,AQ$6&lt;=$BI56),"遅","")))))</f>
        <v/>
      </c>
      <c r="AR56" s="93" t="str">
        <f>IF($BB56="","",IF(AR$6=$BJ56,"◆",IF(AND(AR$6&gt;=$BF56,AR$6&lt;=$BG56),IF(AND(AR$6&gt;=$BD56,AR$6&lt;=$BE56),"実","外"),IF(AND(AR$6&gt;=$BD56,AR$6&lt;=$BE56),"計",IF(AND(AR$6&gt;=$BH56,AR$6&lt;=$BI56),"遅","")))))</f>
        <v/>
      </c>
      <c r="AS56" s="93" t="str">
        <f>IF($BB56="","",IF(AS$6=$BJ56,"◆",IF(AND(AS$6&gt;=$BF56,AS$6&lt;=$BG56),IF(AND(AS$6&gt;=$BD56,AS$6&lt;=$BE56),"実","外"),IF(AND(AS$6&gt;=$BD56,AS$6&lt;=$BE56),"計",IF(AND(AS$6&gt;=$BH56,AS$6&lt;=$BI56),"遅","")))))</f>
        <v/>
      </c>
      <c r="AT56" s="93" t="str">
        <f>IF($BB56="","",IF(AT$6=$BJ56,"◆",IF(AND(AT$6&gt;=$BF56,AT$6&lt;=$BG56),IF(AND(AT$6&gt;=$BD56,AT$6&lt;=$BE56),"実","外"),IF(AND(AT$6&gt;=$BD56,AT$6&lt;=$BE56),"計",IF(AND(AT$6&gt;=$BH56,AT$6&lt;=$BI56),"遅","")))))</f>
        <v/>
      </c>
      <c r="AU56" s="93" t="str">
        <f>IF($BB56="","",IF(AU$6=$BJ56,"◆",IF(AND(AU$6&gt;=$BF56,AU$6&lt;=$BG56),IF(AND(AU$6&gt;=$BD56,AU$6&lt;=$BE56),"実","外"),IF(AND(AU$6&gt;=$BD56,AU$6&lt;=$BE56),"計",IF(AND(AU$6&gt;=$BH56,AU$6&lt;=$BI56),"遅","")))))</f>
        <v/>
      </c>
      <c r="AV56" s="93" t="str">
        <f>IF($BB56="","",IF(AV$6=$BJ56,"◆",IF(AND(AV$6&gt;=$BF56,AV$6&lt;=$BG56),IF(AND(AV$6&gt;=$BD56,AV$6&lt;=$BE56),"実","外"),IF(AND(AV$6&gt;=$BD56,AV$6&lt;=$BE56),"計",IF(AND(AV$6&gt;=$BH56,AV$6&lt;=$BI56),"遅","")))))</f>
        <v/>
      </c>
      <c r="AW56" s="93" t="str">
        <f>IF($BB56="","",IF(AW$6=$BJ56,"◆",IF(AND(AW$6&gt;=$BF56,AW$6&lt;=$BG56),IF(AND(AW$6&gt;=$BD56,AW$6&lt;=$BE56),"実","外"),IF(AND(AW$6&gt;=$BD56,AW$6&lt;=$BE56),"計",IF(AND(AW$6&gt;=$BH56,AW$6&lt;=$BI56),"遅","")))))</f>
        <v/>
      </c>
      <c r="AX56" s="93" t="str">
        <f>IF($BB56="","",IF(AX$6=$BJ56,"◆",IF(AND(AX$6&gt;=$BF56,AX$6&lt;=$BG56),IF(AND(AX$6&gt;=$BD56,AX$6&lt;=$BE56),"実","外"),IF(AND(AX$6&gt;=$BD56,AX$6&lt;=$BE56),"計",IF(AND(AX$6&gt;=$BH56,AX$6&lt;=$BI56),"遅","")))))</f>
        <v/>
      </c>
      <c r="AY56" s="93" t="str">
        <f>IF($BB56="","",IF(AY$6=$BJ56,"◆",IF(AND(AY$6&gt;=$BF56,AY$6&lt;=$BG56),IF(AND(AY$6&gt;=$BD56,AY$6&lt;=$BE56),"実","外"),IF(AND(AY$6&gt;=$BD56,AY$6&lt;=$BE56),"計",IF(AND(AY$6&gt;=$BH56,AY$6&lt;=$BI56),"遅","")))))</f>
        <v/>
      </c>
      <c r="AZ56" s="93" t="str">
        <f>IF($BB56="","",IF(AZ$6=$BJ56,"◆",IF(AND(AZ$6&gt;=$BF56,AZ$6&lt;=$BG56),IF(AND(AZ$6&gt;=$BD56,AZ$6&lt;=$BE56),"実","外"),IF(AND(AZ$6&gt;=$BD56,AZ$6&lt;=$BE56),"計",IF(AND(AZ$6&gt;=$BH56,AZ$6&lt;=$BI56),"遅","")))))</f>
        <v/>
      </c>
      <c r="BB56" t="str">
        <f>IF(49&gt;COUNTIF(tblSteps[日別対象],1),"",IFERROR(MATCH(49,tblSteps[日別順位],0),""))</f>
        <v/>
      </c>
      <c r="BC56" t="str">
        <f>IF($BB56="","",INDEX(tblSteps[案件ID],$BB56)&amp;"")</f>
        <v/>
      </c>
      <c r="BD56" t="str">
        <f>IF($BB56="","",INDEX(tblSteps[計開],$BB56))</f>
        <v/>
      </c>
      <c r="BE56" t="str">
        <f>IF($BB56="","",INDEX(tblSteps[計終],$BB56))</f>
        <v/>
      </c>
      <c r="BF56" t="str">
        <f>IF($BB56="","",INDEX(tblSteps[実開],$BB56))</f>
        <v/>
      </c>
      <c r="BG56" t="str">
        <f>IF($BB56="","",INDEX(tblSteps[実終],$BB56))</f>
        <v/>
      </c>
      <c r="BH56" t="str">
        <f>IF($BB56="","",INDEX(tblSteps[遅開],$BB56))</f>
        <v/>
      </c>
      <c r="BI56" t="str">
        <f>IF($BB56="","",INDEX(tblSteps[遅終],$BB56))</f>
        <v/>
      </c>
      <c r="BJ56" t="str">
        <f>IF($BB56="","",INDEX(tblSteps[納期値],$BB56))</f>
        <v/>
      </c>
    </row>
    <row r="57" ht="18" customHeight="1">
      <c r="A57" s="89" t="str">
        <f>IF($BB57="","",INDEX(tblSteps[工程ID],$BB57)&amp;"")</f>
        <v/>
      </c>
      <c r="B57" s="88" t="str">
        <f>IF($BB57="","",IF($BC57=$BC56,"",$BC57&amp;" "&amp;INDEX(tblSteps[案件名],$BB57)))</f>
        <v/>
      </c>
      <c r="C57" s="88" t="str">
        <f>IF($BB57="","",INDEX(tblSteps[工程名],$BB57)&amp;"")</f>
        <v/>
      </c>
      <c r="D57" s="89" t="str">
        <f>IF($BB57="","",INDEX(tblSteps[担当],$BB57)&amp;"")</f>
        <v/>
      </c>
      <c r="E57" s="89" t="str">
        <f>IF($BB57="","",INDEX(tblSteps[状態],$BB57)&amp;"")</f>
        <v/>
      </c>
      <c r="F57" s="90" t="str">
        <f>IF($BB57="","",IF(ISNUMBER(INDEX(tblSteps[進捗率],$BB57)),INDEX(tblSteps[進捗率],$BB57),""))</f>
        <v/>
      </c>
      <c r="G57" s="91" t="str">
        <f>IF($BB57="","",IF(ISNUMBER(INDEX(tblSteps[計画開始日],$BB57)),INDEX(tblSteps[計画開始日],$BB57),"未入力"))</f>
        <v/>
      </c>
      <c r="H57" s="91" t="str">
        <f>IF($BB57="","",IF(ISNUMBER(INDEX(tblSteps[計画終了日],$BB57)),INDEX(tblSteps[計画終了日],$BB57),"未入力"))</f>
        <v/>
      </c>
      <c r="I57" s="91" t="str">
        <f>IF($BB57="","",IF(ISNUMBER(INDEX(tblSteps[完了見込日],$BB57)),INDEX(tblSteps[完了見込日],$BB57),""))</f>
        <v/>
      </c>
      <c r="J57" s="92" t="str">
        <f>IF($BB57="","",INDEX(tblSteps[注意短],$BB57)&amp;"")</f>
        <v/>
      </c>
      <c r="K57" s="93" t="str">
        <f>IF($BB57="","",IF(K$6=$BJ57,"◆",IF(AND(K$6&gt;=$BF57,K$6&lt;=$BG57),IF(AND(K$6&gt;=$BD57,K$6&lt;=$BE57),"実","外"),IF(AND(K$6&gt;=$BD57,K$6&lt;=$BE57),"計",IF(AND(K$6&gt;=$BH57,K$6&lt;=$BI57),"遅","")))))</f>
        <v/>
      </c>
      <c r="L57" s="93" t="str">
        <f>IF($BB57="","",IF(L$6=$BJ57,"◆",IF(AND(L$6&gt;=$BF57,L$6&lt;=$BG57),IF(AND(L$6&gt;=$BD57,L$6&lt;=$BE57),"実","外"),IF(AND(L$6&gt;=$BD57,L$6&lt;=$BE57),"計",IF(AND(L$6&gt;=$BH57,L$6&lt;=$BI57),"遅","")))))</f>
        <v/>
      </c>
      <c r="M57" s="93" t="str">
        <f>IF($BB57="","",IF(M$6=$BJ57,"◆",IF(AND(M$6&gt;=$BF57,M$6&lt;=$BG57),IF(AND(M$6&gt;=$BD57,M$6&lt;=$BE57),"実","外"),IF(AND(M$6&gt;=$BD57,M$6&lt;=$BE57),"計",IF(AND(M$6&gt;=$BH57,M$6&lt;=$BI57),"遅","")))))</f>
        <v/>
      </c>
      <c r="N57" s="93" t="str">
        <f>IF($BB57="","",IF(N$6=$BJ57,"◆",IF(AND(N$6&gt;=$BF57,N$6&lt;=$BG57),IF(AND(N$6&gt;=$BD57,N$6&lt;=$BE57),"実","外"),IF(AND(N$6&gt;=$BD57,N$6&lt;=$BE57),"計",IF(AND(N$6&gt;=$BH57,N$6&lt;=$BI57),"遅","")))))</f>
        <v/>
      </c>
      <c r="O57" s="93" t="str">
        <f>IF($BB57="","",IF(O$6=$BJ57,"◆",IF(AND(O$6&gt;=$BF57,O$6&lt;=$BG57),IF(AND(O$6&gt;=$BD57,O$6&lt;=$BE57),"実","外"),IF(AND(O$6&gt;=$BD57,O$6&lt;=$BE57),"計",IF(AND(O$6&gt;=$BH57,O$6&lt;=$BI57),"遅","")))))</f>
        <v/>
      </c>
      <c r="P57" s="93" t="str">
        <f>IF($BB57="","",IF(P$6=$BJ57,"◆",IF(AND(P$6&gt;=$BF57,P$6&lt;=$BG57),IF(AND(P$6&gt;=$BD57,P$6&lt;=$BE57),"実","外"),IF(AND(P$6&gt;=$BD57,P$6&lt;=$BE57),"計",IF(AND(P$6&gt;=$BH57,P$6&lt;=$BI57),"遅","")))))</f>
        <v/>
      </c>
      <c r="Q57" s="93" t="str">
        <f>IF($BB57="","",IF(Q$6=$BJ57,"◆",IF(AND(Q$6&gt;=$BF57,Q$6&lt;=$BG57),IF(AND(Q$6&gt;=$BD57,Q$6&lt;=$BE57),"実","外"),IF(AND(Q$6&gt;=$BD57,Q$6&lt;=$BE57),"計",IF(AND(Q$6&gt;=$BH57,Q$6&lt;=$BI57),"遅","")))))</f>
        <v/>
      </c>
      <c r="R57" s="93" t="str">
        <f>IF($BB57="","",IF(R$6=$BJ57,"◆",IF(AND(R$6&gt;=$BF57,R$6&lt;=$BG57),IF(AND(R$6&gt;=$BD57,R$6&lt;=$BE57),"実","外"),IF(AND(R$6&gt;=$BD57,R$6&lt;=$BE57),"計",IF(AND(R$6&gt;=$BH57,R$6&lt;=$BI57),"遅","")))))</f>
        <v/>
      </c>
      <c r="S57" s="93" t="str">
        <f>IF($BB57="","",IF(S$6=$BJ57,"◆",IF(AND(S$6&gt;=$BF57,S$6&lt;=$BG57),IF(AND(S$6&gt;=$BD57,S$6&lt;=$BE57),"実","外"),IF(AND(S$6&gt;=$BD57,S$6&lt;=$BE57),"計",IF(AND(S$6&gt;=$BH57,S$6&lt;=$BI57),"遅","")))))</f>
        <v/>
      </c>
      <c r="T57" s="93" t="str">
        <f>IF($BB57="","",IF(T$6=$BJ57,"◆",IF(AND(T$6&gt;=$BF57,T$6&lt;=$BG57),IF(AND(T$6&gt;=$BD57,T$6&lt;=$BE57),"実","外"),IF(AND(T$6&gt;=$BD57,T$6&lt;=$BE57),"計",IF(AND(T$6&gt;=$BH57,T$6&lt;=$BI57),"遅","")))))</f>
        <v/>
      </c>
      <c r="U57" s="93" t="str">
        <f>IF($BB57="","",IF(U$6=$BJ57,"◆",IF(AND(U$6&gt;=$BF57,U$6&lt;=$BG57),IF(AND(U$6&gt;=$BD57,U$6&lt;=$BE57),"実","外"),IF(AND(U$6&gt;=$BD57,U$6&lt;=$BE57),"計",IF(AND(U$6&gt;=$BH57,U$6&lt;=$BI57),"遅","")))))</f>
        <v/>
      </c>
      <c r="V57" s="93" t="str">
        <f>IF($BB57="","",IF(V$6=$BJ57,"◆",IF(AND(V$6&gt;=$BF57,V$6&lt;=$BG57),IF(AND(V$6&gt;=$BD57,V$6&lt;=$BE57),"実","外"),IF(AND(V$6&gt;=$BD57,V$6&lt;=$BE57),"計",IF(AND(V$6&gt;=$BH57,V$6&lt;=$BI57),"遅","")))))</f>
        <v/>
      </c>
      <c r="W57" s="93" t="str">
        <f>IF($BB57="","",IF(W$6=$BJ57,"◆",IF(AND(W$6&gt;=$BF57,W$6&lt;=$BG57),IF(AND(W$6&gt;=$BD57,W$6&lt;=$BE57),"実","外"),IF(AND(W$6&gt;=$BD57,W$6&lt;=$BE57),"計",IF(AND(W$6&gt;=$BH57,W$6&lt;=$BI57),"遅","")))))</f>
        <v/>
      </c>
      <c r="X57" s="93" t="str">
        <f>IF($BB57="","",IF(X$6=$BJ57,"◆",IF(AND(X$6&gt;=$BF57,X$6&lt;=$BG57),IF(AND(X$6&gt;=$BD57,X$6&lt;=$BE57),"実","外"),IF(AND(X$6&gt;=$BD57,X$6&lt;=$BE57),"計",IF(AND(X$6&gt;=$BH57,X$6&lt;=$BI57),"遅","")))))</f>
        <v/>
      </c>
      <c r="Y57" s="93" t="str">
        <f>IF($BB57="","",IF(Y$6=$BJ57,"◆",IF(AND(Y$6&gt;=$BF57,Y$6&lt;=$BG57),IF(AND(Y$6&gt;=$BD57,Y$6&lt;=$BE57),"実","外"),IF(AND(Y$6&gt;=$BD57,Y$6&lt;=$BE57),"計",IF(AND(Y$6&gt;=$BH57,Y$6&lt;=$BI57),"遅","")))))</f>
        <v/>
      </c>
      <c r="Z57" s="93" t="str">
        <f>IF($BB57="","",IF(Z$6=$BJ57,"◆",IF(AND(Z$6&gt;=$BF57,Z$6&lt;=$BG57),IF(AND(Z$6&gt;=$BD57,Z$6&lt;=$BE57),"実","外"),IF(AND(Z$6&gt;=$BD57,Z$6&lt;=$BE57),"計",IF(AND(Z$6&gt;=$BH57,Z$6&lt;=$BI57),"遅","")))))</f>
        <v/>
      </c>
      <c r="AA57" s="93" t="str">
        <f>IF($BB57="","",IF(AA$6=$BJ57,"◆",IF(AND(AA$6&gt;=$BF57,AA$6&lt;=$BG57),IF(AND(AA$6&gt;=$BD57,AA$6&lt;=$BE57),"実","外"),IF(AND(AA$6&gt;=$BD57,AA$6&lt;=$BE57),"計",IF(AND(AA$6&gt;=$BH57,AA$6&lt;=$BI57),"遅","")))))</f>
        <v/>
      </c>
      <c r="AB57" s="93" t="str">
        <f>IF($BB57="","",IF(AB$6=$BJ57,"◆",IF(AND(AB$6&gt;=$BF57,AB$6&lt;=$BG57),IF(AND(AB$6&gt;=$BD57,AB$6&lt;=$BE57),"実","外"),IF(AND(AB$6&gt;=$BD57,AB$6&lt;=$BE57),"計",IF(AND(AB$6&gt;=$BH57,AB$6&lt;=$BI57),"遅","")))))</f>
        <v/>
      </c>
      <c r="AC57" s="93" t="str">
        <f>IF($BB57="","",IF(AC$6=$BJ57,"◆",IF(AND(AC$6&gt;=$BF57,AC$6&lt;=$BG57),IF(AND(AC$6&gt;=$BD57,AC$6&lt;=$BE57),"実","外"),IF(AND(AC$6&gt;=$BD57,AC$6&lt;=$BE57),"計",IF(AND(AC$6&gt;=$BH57,AC$6&lt;=$BI57),"遅","")))))</f>
        <v/>
      </c>
      <c r="AD57" s="93" t="str">
        <f>IF($BB57="","",IF(AD$6=$BJ57,"◆",IF(AND(AD$6&gt;=$BF57,AD$6&lt;=$BG57),IF(AND(AD$6&gt;=$BD57,AD$6&lt;=$BE57),"実","外"),IF(AND(AD$6&gt;=$BD57,AD$6&lt;=$BE57),"計",IF(AND(AD$6&gt;=$BH57,AD$6&lt;=$BI57),"遅","")))))</f>
        <v/>
      </c>
      <c r="AE57" s="93" t="str">
        <f>IF($BB57="","",IF(AE$6=$BJ57,"◆",IF(AND(AE$6&gt;=$BF57,AE$6&lt;=$BG57),IF(AND(AE$6&gt;=$BD57,AE$6&lt;=$BE57),"実","外"),IF(AND(AE$6&gt;=$BD57,AE$6&lt;=$BE57),"計",IF(AND(AE$6&gt;=$BH57,AE$6&lt;=$BI57),"遅","")))))</f>
        <v/>
      </c>
      <c r="AF57" s="93" t="str">
        <f>IF($BB57="","",IF(AF$6=$BJ57,"◆",IF(AND(AF$6&gt;=$BF57,AF$6&lt;=$BG57),IF(AND(AF$6&gt;=$BD57,AF$6&lt;=$BE57),"実","外"),IF(AND(AF$6&gt;=$BD57,AF$6&lt;=$BE57),"計",IF(AND(AF$6&gt;=$BH57,AF$6&lt;=$BI57),"遅","")))))</f>
        <v/>
      </c>
      <c r="AG57" s="93" t="str">
        <f>IF($BB57="","",IF(AG$6=$BJ57,"◆",IF(AND(AG$6&gt;=$BF57,AG$6&lt;=$BG57),IF(AND(AG$6&gt;=$BD57,AG$6&lt;=$BE57),"実","外"),IF(AND(AG$6&gt;=$BD57,AG$6&lt;=$BE57),"計",IF(AND(AG$6&gt;=$BH57,AG$6&lt;=$BI57),"遅","")))))</f>
        <v/>
      </c>
      <c r="AH57" s="93" t="str">
        <f>IF($BB57="","",IF(AH$6=$BJ57,"◆",IF(AND(AH$6&gt;=$BF57,AH$6&lt;=$BG57),IF(AND(AH$6&gt;=$BD57,AH$6&lt;=$BE57),"実","外"),IF(AND(AH$6&gt;=$BD57,AH$6&lt;=$BE57),"計",IF(AND(AH$6&gt;=$BH57,AH$6&lt;=$BI57),"遅","")))))</f>
        <v/>
      </c>
      <c r="AI57" s="93" t="str">
        <f>IF($BB57="","",IF(AI$6=$BJ57,"◆",IF(AND(AI$6&gt;=$BF57,AI$6&lt;=$BG57),IF(AND(AI$6&gt;=$BD57,AI$6&lt;=$BE57),"実","外"),IF(AND(AI$6&gt;=$BD57,AI$6&lt;=$BE57),"計",IF(AND(AI$6&gt;=$BH57,AI$6&lt;=$BI57),"遅","")))))</f>
        <v/>
      </c>
      <c r="AJ57" s="93" t="str">
        <f>IF($BB57="","",IF(AJ$6=$BJ57,"◆",IF(AND(AJ$6&gt;=$BF57,AJ$6&lt;=$BG57),IF(AND(AJ$6&gt;=$BD57,AJ$6&lt;=$BE57),"実","外"),IF(AND(AJ$6&gt;=$BD57,AJ$6&lt;=$BE57),"計",IF(AND(AJ$6&gt;=$BH57,AJ$6&lt;=$BI57),"遅","")))))</f>
        <v/>
      </c>
      <c r="AK57" s="93" t="str">
        <f>IF($BB57="","",IF(AK$6=$BJ57,"◆",IF(AND(AK$6&gt;=$BF57,AK$6&lt;=$BG57),IF(AND(AK$6&gt;=$BD57,AK$6&lt;=$BE57),"実","外"),IF(AND(AK$6&gt;=$BD57,AK$6&lt;=$BE57),"計",IF(AND(AK$6&gt;=$BH57,AK$6&lt;=$BI57),"遅","")))))</f>
        <v/>
      </c>
      <c r="AL57" s="93" t="str">
        <f>IF($BB57="","",IF(AL$6=$BJ57,"◆",IF(AND(AL$6&gt;=$BF57,AL$6&lt;=$BG57),IF(AND(AL$6&gt;=$BD57,AL$6&lt;=$BE57),"実","外"),IF(AND(AL$6&gt;=$BD57,AL$6&lt;=$BE57),"計",IF(AND(AL$6&gt;=$BH57,AL$6&lt;=$BI57),"遅","")))))</f>
        <v/>
      </c>
      <c r="AM57" s="93" t="str">
        <f>IF($BB57="","",IF(AM$6=$BJ57,"◆",IF(AND(AM$6&gt;=$BF57,AM$6&lt;=$BG57),IF(AND(AM$6&gt;=$BD57,AM$6&lt;=$BE57),"実","外"),IF(AND(AM$6&gt;=$BD57,AM$6&lt;=$BE57),"計",IF(AND(AM$6&gt;=$BH57,AM$6&lt;=$BI57),"遅","")))))</f>
        <v/>
      </c>
      <c r="AN57" s="93" t="str">
        <f>IF($BB57="","",IF(AN$6=$BJ57,"◆",IF(AND(AN$6&gt;=$BF57,AN$6&lt;=$BG57),IF(AND(AN$6&gt;=$BD57,AN$6&lt;=$BE57),"実","外"),IF(AND(AN$6&gt;=$BD57,AN$6&lt;=$BE57),"計",IF(AND(AN$6&gt;=$BH57,AN$6&lt;=$BI57),"遅","")))))</f>
        <v/>
      </c>
      <c r="AO57" s="93" t="str">
        <f>IF($BB57="","",IF(AO$6=$BJ57,"◆",IF(AND(AO$6&gt;=$BF57,AO$6&lt;=$BG57),IF(AND(AO$6&gt;=$BD57,AO$6&lt;=$BE57),"実","外"),IF(AND(AO$6&gt;=$BD57,AO$6&lt;=$BE57),"計",IF(AND(AO$6&gt;=$BH57,AO$6&lt;=$BI57),"遅","")))))</f>
        <v/>
      </c>
      <c r="AP57" s="93" t="str">
        <f>IF($BB57="","",IF(AP$6=$BJ57,"◆",IF(AND(AP$6&gt;=$BF57,AP$6&lt;=$BG57),IF(AND(AP$6&gt;=$BD57,AP$6&lt;=$BE57),"実","外"),IF(AND(AP$6&gt;=$BD57,AP$6&lt;=$BE57),"計",IF(AND(AP$6&gt;=$BH57,AP$6&lt;=$BI57),"遅","")))))</f>
        <v/>
      </c>
      <c r="AQ57" s="93" t="str">
        <f>IF($BB57="","",IF(AQ$6=$BJ57,"◆",IF(AND(AQ$6&gt;=$BF57,AQ$6&lt;=$BG57),IF(AND(AQ$6&gt;=$BD57,AQ$6&lt;=$BE57),"実","外"),IF(AND(AQ$6&gt;=$BD57,AQ$6&lt;=$BE57),"計",IF(AND(AQ$6&gt;=$BH57,AQ$6&lt;=$BI57),"遅","")))))</f>
        <v/>
      </c>
      <c r="AR57" s="93" t="str">
        <f>IF($BB57="","",IF(AR$6=$BJ57,"◆",IF(AND(AR$6&gt;=$BF57,AR$6&lt;=$BG57),IF(AND(AR$6&gt;=$BD57,AR$6&lt;=$BE57),"実","外"),IF(AND(AR$6&gt;=$BD57,AR$6&lt;=$BE57),"計",IF(AND(AR$6&gt;=$BH57,AR$6&lt;=$BI57),"遅","")))))</f>
        <v/>
      </c>
      <c r="AS57" s="93" t="str">
        <f>IF($BB57="","",IF(AS$6=$BJ57,"◆",IF(AND(AS$6&gt;=$BF57,AS$6&lt;=$BG57),IF(AND(AS$6&gt;=$BD57,AS$6&lt;=$BE57),"実","外"),IF(AND(AS$6&gt;=$BD57,AS$6&lt;=$BE57),"計",IF(AND(AS$6&gt;=$BH57,AS$6&lt;=$BI57),"遅","")))))</f>
        <v/>
      </c>
      <c r="AT57" s="93" t="str">
        <f>IF($BB57="","",IF(AT$6=$BJ57,"◆",IF(AND(AT$6&gt;=$BF57,AT$6&lt;=$BG57),IF(AND(AT$6&gt;=$BD57,AT$6&lt;=$BE57),"実","外"),IF(AND(AT$6&gt;=$BD57,AT$6&lt;=$BE57),"計",IF(AND(AT$6&gt;=$BH57,AT$6&lt;=$BI57),"遅","")))))</f>
        <v/>
      </c>
      <c r="AU57" s="93" t="str">
        <f>IF($BB57="","",IF(AU$6=$BJ57,"◆",IF(AND(AU$6&gt;=$BF57,AU$6&lt;=$BG57),IF(AND(AU$6&gt;=$BD57,AU$6&lt;=$BE57),"実","外"),IF(AND(AU$6&gt;=$BD57,AU$6&lt;=$BE57),"計",IF(AND(AU$6&gt;=$BH57,AU$6&lt;=$BI57),"遅","")))))</f>
        <v/>
      </c>
      <c r="AV57" s="93" t="str">
        <f>IF($BB57="","",IF(AV$6=$BJ57,"◆",IF(AND(AV$6&gt;=$BF57,AV$6&lt;=$BG57),IF(AND(AV$6&gt;=$BD57,AV$6&lt;=$BE57),"実","外"),IF(AND(AV$6&gt;=$BD57,AV$6&lt;=$BE57),"計",IF(AND(AV$6&gt;=$BH57,AV$6&lt;=$BI57),"遅","")))))</f>
        <v/>
      </c>
      <c r="AW57" s="93" t="str">
        <f>IF($BB57="","",IF(AW$6=$BJ57,"◆",IF(AND(AW$6&gt;=$BF57,AW$6&lt;=$BG57),IF(AND(AW$6&gt;=$BD57,AW$6&lt;=$BE57),"実","外"),IF(AND(AW$6&gt;=$BD57,AW$6&lt;=$BE57),"計",IF(AND(AW$6&gt;=$BH57,AW$6&lt;=$BI57),"遅","")))))</f>
        <v/>
      </c>
      <c r="AX57" s="93" t="str">
        <f>IF($BB57="","",IF(AX$6=$BJ57,"◆",IF(AND(AX$6&gt;=$BF57,AX$6&lt;=$BG57),IF(AND(AX$6&gt;=$BD57,AX$6&lt;=$BE57),"実","外"),IF(AND(AX$6&gt;=$BD57,AX$6&lt;=$BE57),"計",IF(AND(AX$6&gt;=$BH57,AX$6&lt;=$BI57),"遅","")))))</f>
        <v/>
      </c>
      <c r="AY57" s="93" t="str">
        <f>IF($BB57="","",IF(AY$6=$BJ57,"◆",IF(AND(AY$6&gt;=$BF57,AY$6&lt;=$BG57),IF(AND(AY$6&gt;=$BD57,AY$6&lt;=$BE57),"実","外"),IF(AND(AY$6&gt;=$BD57,AY$6&lt;=$BE57),"計",IF(AND(AY$6&gt;=$BH57,AY$6&lt;=$BI57),"遅","")))))</f>
        <v/>
      </c>
      <c r="AZ57" s="93" t="str">
        <f>IF($BB57="","",IF(AZ$6=$BJ57,"◆",IF(AND(AZ$6&gt;=$BF57,AZ$6&lt;=$BG57),IF(AND(AZ$6&gt;=$BD57,AZ$6&lt;=$BE57),"実","外"),IF(AND(AZ$6&gt;=$BD57,AZ$6&lt;=$BE57),"計",IF(AND(AZ$6&gt;=$BH57,AZ$6&lt;=$BI57),"遅","")))))</f>
        <v/>
      </c>
      <c r="BB57" t="str">
        <f>IF(50&gt;COUNTIF(tblSteps[日別対象],1),"",IFERROR(MATCH(50,tblSteps[日別順位],0),""))</f>
        <v/>
      </c>
      <c r="BC57" t="str">
        <f>IF($BB57="","",INDEX(tblSteps[案件ID],$BB57)&amp;"")</f>
        <v/>
      </c>
      <c r="BD57" t="str">
        <f>IF($BB57="","",INDEX(tblSteps[計開],$BB57))</f>
        <v/>
      </c>
      <c r="BE57" t="str">
        <f>IF($BB57="","",INDEX(tblSteps[計終],$BB57))</f>
        <v/>
      </c>
      <c r="BF57" t="str">
        <f>IF($BB57="","",INDEX(tblSteps[実開],$BB57))</f>
        <v/>
      </c>
      <c r="BG57" t="str">
        <f>IF($BB57="","",INDEX(tblSteps[実終],$BB57))</f>
        <v/>
      </c>
      <c r="BH57" t="str">
        <f>IF($BB57="","",INDEX(tblSteps[遅開],$BB57))</f>
        <v/>
      </c>
      <c r="BI57" t="str">
        <f>IF($BB57="","",INDEX(tblSteps[遅終],$BB57))</f>
        <v/>
      </c>
      <c r="BJ57" t="str">
        <f>IF($BB57="","",INDEX(tblSteps[納期値],$BB57))</f>
        <v/>
      </c>
    </row>
    <row r="58" ht="18" customHeight="1">
      <c r="A58" s="89" t="str">
        <f>IF($BB58="","",INDEX(tblSteps[工程ID],$BB58)&amp;"")</f>
        <v/>
      </c>
      <c r="B58" s="88" t="str">
        <f>IF($BB58="","",IF($BC58=$BC57,"",$BC58&amp;" "&amp;INDEX(tblSteps[案件名],$BB58)))</f>
        <v/>
      </c>
      <c r="C58" s="88" t="str">
        <f>IF($BB58="","",INDEX(tblSteps[工程名],$BB58)&amp;"")</f>
        <v/>
      </c>
      <c r="D58" s="89" t="str">
        <f>IF($BB58="","",INDEX(tblSteps[担当],$BB58)&amp;"")</f>
        <v/>
      </c>
      <c r="E58" s="89" t="str">
        <f>IF($BB58="","",INDEX(tblSteps[状態],$BB58)&amp;"")</f>
        <v/>
      </c>
      <c r="F58" s="90" t="str">
        <f>IF($BB58="","",IF(ISNUMBER(INDEX(tblSteps[進捗率],$BB58)),INDEX(tblSteps[進捗率],$BB58),""))</f>
        <v/>
      </c>
      <c r="G58" s="91" t="str">
        <f>IF($BB58="","",IF(ISNUMBER(INDEX(tblSteps[計画開始日],$BB58)),INDEX(tblSteps[計画開始日],$BB58),"未入力"))</f>
        <v/>
      </c>
      <c r="H58" s="91" t="str">
        <f>IF($BB58="","",IF(ISNUMBER(INDEX(tblSteps[計画終了日],$BB58)),INDEX(tblSteps[計画終了日],$BB58),"未入力"))</f>
        <v/>
      </c>
      <c r="I58" s="91" t="str">
        <f>IF($BB58="","",IF(ISNUMBER(INDEX(tblSteps[完了見込日],$BB58)),INDEX(tblSteps[完了見込日],$BB58),""))</f>
        <v/>
      </c>
      <c r="J58" s="92" t="str">
        <f>IF($BB58="","",INDEX(tblSteps[注意短],$BB58)&amp;"")</f>
        <v/>
      </c>
      <c r="K58" s="93" t="str">
        <f>IF($BB58="","",IF(K$6=$BJ58,"◆",IF(AND(K$6&gt;=$BF58,K$6&lt;=$BG58),IF(AND(K$6&gt;=$BD58,K$6&lt;=$BE58),"実","外"),IF(AND(K$6&gt;=$BD58,K$6&lt;=$BE58),"計",IF(AND(K$6&gt;=$BH58,K$6&lt;=$BI58),"遅","")))))</f>
        <v/>
      </c>
      <c r="L58" s="93" t="str">
        <f>IF($BB58="","",IF(L$6=$BJ58,"◆",IF(AND(L$6&gt;=$BF58,L$6&lt;=$BG58),IF(AND(L$6&gt;=$BD58,L$6&lt;=$BE58),"実","外"),IF(AND(L$6&gt;=$BD58,L$6&lt;=$BE58),"計",IF(AND(L$6&gt;=$BH58,L$6&lt;=$BI58),"遅","")))))</f>
        <v/>
      </c>
      <c r="M58" s="93" t="str">
        <f>IF($BB58="","",IF(M$6=$BJ58,"◆",IF(AND(M$6&gt;=$BF58,M$6&lt;=$BG58),IF(AND(M$6&gt;=$BD58,M$6&lt;=$BE58),"実","外"),IF(AND(M$6&gt;=$BD58,M$6&lt;=$BE58),"計",IF(AND(M$6&gt;=$BH58,M$6&lt;=$BI58),"遅","")))))</f>
        <v/>
      </c>
      <c r="N58" s="93" t="str">
        <f>IF($BB58="","",IF(N$6=$BJ58,"◆",IF(AND(N$6&gt;=$BF58,N$6&lt;=$BG58),IF(AND(N$6&gt;=$BD58,N$6&lt;=$BE58),"実","外"),IF(AND(N$6&gt;=$BD58,N$6&lt;=$BE58),"計",IF(AND(N$6&gt;=$BH58,N$6&lt;=$BI58),"遅","")))))</f>
        <v/>
      </c>
      <c r="O58" s="93" t="str">
        <f>IF($BB58="","",IF(O$6=$BJ58,"◆",IF(AND(O$6&gt;=$BF58,O$6&lt;=$BG58),IF(AND(O$6&gt;=$BD58,O$6&lt;=$BE58),"実","外"),IF(AND(O$6&gt;=$BD58,O$6&lt;=$BE58),"計",IF(AND(O$6&gt;=$BH58,O$6&lt;=$BI58),"遅","")))))</f>
        <v/>
      </c>
      <c r="P58" s="93" t="str">
        <f>IF($BB58="","",IF(P$6=$BJ58,"◆",IF(AND(P$6&gt;=$BF58,P$6&lt;=$BG58),IF(AND(P$6&gt;=$BD58,P$6&lt;=$BE58),"実","外"),IF(AND(P$6&gt;=$BD58,P$6&lt;=$BE58),"計",IF(AND(P$6&gt;=$BH58,P$6&lt;=$BI58),"遅","")))))</f>
        <v/>
      </c>
      <c r="Q58" s="93" t="str">
        <f>IF($BB58="","",IF(Q$6=$BJ58,"◆",IF(AND(Q$6&gt;=$BF58,Q$6&lt;=$BG58),IF(AND(Q$6&gt;=$BD58,Q$6&lt;=$BE58),"実","外"),IF(AND(Q$6&gt;=$BD58,Q$6&lt;=$BE58),"計",IF(AND(Q$6&gt;=$BH58,Q$6&lt;=$BI58),"遅","")))))</f>
        <v/>
      </c>
      <c r="R58" s="93" t="str">
        <f>IF($BB58="","",IF(R$6=$BJ58,"◆",IF(AND(R$6&gt;=$BF58,R$6&lt;=$BG58),IF(AND(R$6&gt;=$BD58,R$6&lt;=$BE58),"実","外"),IF(AND(R$6&gt;=$BD58,R$6&lt;=$BE58),"計",IF(AND(R$6&gt;=$BH58,R$6&lt;=$BI58),"遅","")))))</f>
        <v/>
      </c>
      <c r="S58" s="93" t="str">
        <f>IF($BB58="","",IF(S$6=$BJ58,"◆",IF(AND(S$6&gt;=$BF58,S$6&lt;=$BG58),IF(AND(S$6&gt;=$BD58,S$6&lt;=$BE58),"実","外"),IF(AND(S$6&gt;=$BD58,S$6&lt;=$BE58),"計",IF(AND(S$6&gt;=$BH58,S$6&lt;=$BI58),"遅","")))))</f>
        <v/>
      </c>
      <c r="T58" s="93" t="str">
        <f>IF($BB58="","",IF(T$6=$BJ58,"◆",IF(AND(T$6&gt;=$BF58,T$6&lt;=$BG58),IF(AND(T$6&gt;=$BD58,T$6&lt;=$BE58),"実","外"),IF(AND(T$6&gt;=$BD58,T$6&lt;=$BE58),"計",IF(AND(T$6&gt;=$BH58,T$6&lt;=$BI58),"遅","")))))</f>
        <v/>
      </c>
      <c r="U58" s="93" t="str">
        <f>IF($BB58="","",IF(U$6=$BJ58,"◆",IF(AND(U$6&gt;=$BF58,U$6&lt;=$BG58),IF(AND(U$6&gt;=$BD58,U$6&lt;=$BE58),"実","外"),IF(AND(U$6&gt;=$BD58,U$6&lt;=$BE58),"計",IF(AND(U$6&gt;=$BH58,U$6&lt;=$BI58),"遅","")))))</f>
        <v/>
      </c>
      <c r="V58" s="93" t="str">
        <f>IF($BB58="","",IF(V$6=$BJ58,"◆",IF(AND(V$6&gt;=$BF58,V$6&lt;=$BG58),IF(AND(V$6&gt;=$BD58,V$6&lt;=$BE58),"実","外"),IF(AND(V$6&gt;=$BD58,V$6&lt;=$BE58),"計",IF(AND(V$6&gt;=$BH58,V$6&lt;=$BI58),"遅","")))))</f>
        <v/>
      </c>
      <c r="W58" s="93" t="str">
        <f>IF($BB58="","",IF(W$6=$BJ58,"◆",IF(AND(W$6&gt;=$BF58,W$6&lt;=$BG58),IF(AND(W$6&gt;=$BD58,W$6&lt;=$BE58),"実","外"),IF(AND(W$6&gt;=$BD58,W$6&lt;=$BE58),"計",IF(AND(W$6&gt;=$BH58,W$6&lt;=$BI58),"遅","")))))</f>
        <v/>
      </c>
      <c r="X58" s="93" t="str">
        <f>IF($BB58="","",IF(X$6=$BJ58,"◆",IF(AND(X$6&gt;=$BF58,X$6&lt;=$BG58),IF(AND(X$6&gt;=$BD58,X$6&lt;=$BE58),"実","外"),IF(AND(X$6&gt;=$BD58,X$6&lt;=$BE58),"計",IF(AND(X$6&gt;=$BH58,X$6&lt;=$BI58),"遅","")))))</f>
        <v/>
      </c>
      <c r="Y58" s="93" t="str">
        <f>IF($BB58="","",IF(Y$6=$BJ58,"◆",IF(AND(Y$6&gt;=$BF58,Y$6&lt;=$BG58),IF(AND(Y$6&gt;=$BD58,Y$6&lt;=$BE58),"実","外"),IF(AND(Y$6&gt;=$BD58,Y$6&lt;=$BE58),"計",IF(AND(Y$6&gt;=$BH58,Y$6&lt;=$BI58),"遅","")))))</f>
        <v/>
      </c>
      <c r="Z58" s="93" t="str">
        <f>IF($BB58="","",IF(Z$6=$BJ58,"◆",IF(AND(Z$6&gt;=$BF58,Z$6&lt;=$BG58),IF(AND(Z$6&gt;=$BD58,Z$6&lt;=$BE58),"実","外"),IF(AND(Z$6&gt;=$BD58,Z$6&lt;=$BE58),"計",IF(AND(Z$6&gt;=$BH58,Z$6&lt;=$BI58),"遅","")))))</f>
        <v/>
      </c>
      <c r="AA58" s="93" t="str">
        <f>IF($BB58="","",IF(AA$6=$BJ58,"◆",IF(AND(AA$6&gt;=$BF58,AA$6&lt;=$BG58),IF(AND(AA$6&gt;=$BD58,AA$6&lt;=$BE58),"実","外"),IF(AND(AA$6&gt;=$BD58,AA$6&lt;=$BE58),"計",IF(AND(AA$6&gt;=$BH58,AA$6&lt;=$BI58),"遅","")))))</f>
        <v/>
      </c>
      <c r="AB58" s="93" t="str">
        <f>IF($BB58="","",IF(AB$6=$BJ58,"◆",IF(AND(AB$6&gt;=$BF58,AB$6&lt;=$BG58),IF(AND(AB$6&gt;=$BD58,AB$6&lt;=$BE58),"実","外"),IF(AND(AB$6&gt;=$BD58,AB$6&lt;=$BE58),"計",IF(AND(AB$6&gt;=$BH58,AB$6&lt;=$BI58),"遅","")))))</f>
        <v/>
      </c>
      <c r="AC58" s="93" t="str">
        <f>IF($BB58="","",IF(AC$6=$BJ58,"◆",IF(AND(AC$6&gt;=$BF58,AC$6&lt;=$BG58),IF(AND(AC$6&gt;=$BD58,AC$6&lt;=$BE58),"実","外"),IF(AND(AC$6&gt;=$BD58,AC$6&lt;=$BE58),"計",IF(AND(AC$6&gt;=$BH58,AC$6&lt;=$BI58),"遅","")))))</f>
        <v/>
      </c>
      <c r="AD58" s="93" t="str">
        <f>IF($BB58="","",IF(AD$6=$BJ58,"◆",IF(AND(AD$6&gt;=$BF58,AD$6&lt;=$BG58),IF(AND(AD$6&gt;=$BD58,AD$6&lt;=$BE58),"実","外"),IF(AND(AD$6&gt;=$BD58,AD$6&lt;=$BE58),"計",IF(AND(AD$6&gt;=$BH58,AD$6&lt;=$BI58),"遅","")))))</f>
        <v/>
      </c>
      <c r="AE58" s="93" t="str">
        <f>IF($BB58="","",IF(AE$6=$BJ58,"◆",IF(AND(AE$6&gt;=$BF58,AE$6&lt;=$BG58),IF(AND(AE$6&gt;=$BD58,AE$6&lt;=$BE58),"実","外"),IF(AND(AE$6&gt;=$BD58,AE$6&lt;=$BE58),"計",IF(AND(AE$6&gt;=$BH58,AE$6&lt;=$BI58),"遅","")))))</f>
        <v/>
      </c>
      <c r="AF58" s="93" t="str">
        <f>IF($BB58="","",IF(AF$6=$BJ58,"◆",IF(AND(AF$6&gt;=$BF58,AF$6&lt;=$BG58),IF(AND(AF$6&gt;=$BD58,AF$6&lt;=$BE58),"実","外"),IF(AND(AF$6&gt;=$BD58,AF$6&lt;=$BE58),"計",IF(AND(AF$6&gt;=$BH58,AF$6&lt;=$BI58),"遅","")))))</f>
        <v/>
      </c>
      <c r="AG58" s="93" t="str">
        <f>IF($BB58="","",IF(AG$6=$BJ58,"◆",IF(AND(AG$6&gt;=$BF58,AG$6&lt;=$BG58),IF(AND(AG$6&gt;=$BD58,AG$6&lt;=$BE58),"実","外"),IF(AND(AG$6&gt;=$BD58,AG$6&lt;=$BE58),"計",IF(AND(AG$6&gt;=$BH58,AG$6&lt;=$BI58),"遅","")))))</f>
        <v/>
      </c>
      <c r="AH58" s="93" t="str">
        <f>IF($BB58="","",IF(AH$6=$BJ58,"◆",IF(AND(AH$6&gt;=$BF58,AH$6&lt;=$BG58),IF(AND(AH$6&gt;=$BD58,AH$6&lt;=$BE58),"実","外"),IF(AND(AH$6&gt;=$BD58,AH$6&lt;=$BE58),"計",IF(AND(AH$6&gt;=$BH58,AH$6&lt;=$BI58),"遅","")))))</f>
        <v/>
      </c>
      <c r="AI58" s="93" t="str">
        <f>IF($BB58="","",IF(AI$6=$BJ58,"◆",IF(AND(AI$6&gt;=$BF58,AI$6&lt;=$BG58),IF(AND(AI$6&gt;=$BD58,AI$6&lt;=$BE58),"実","外"),IF(AND(AI$6&gt;=$BD58,AI$6&lt;=$BE58),"計",IF(AND(AI$6&gt;=$BH58,AI$6&lt;=$BI58),"遅","")))))</f>
        <v/>
      </c>
      <c r="AJ58" s="93" t="str">
        <f>IF($BB58="","",IF(AJ$6=$BJ58,"◆",IF(AND(AJ$6&gt;=$BF58,AJ$6&lt;=$BG58),IF(AND(AJ$6&gt;=$BD58,AJ$6&lt;=$BE58),"実","外"),IF(AND(AJ$6&gt;=$BD58,AJ$6&lt;=$BE58),"計",IF(AND(AJ$6&gt;=$BH58,AJ$6&lt;=$BI58),"遅","")))))</f>
        <v/>
      </c>
      <c r="AK58" s="93" t="str">
        <f>IF($BB58="","",IF(AK$6=$BJ58,"◆",IF(AND(AK$6&gt;=$BF58,AK$6&lt;=$BG58),IF(AND(AK$6&gt;=$BD58,AK$6&lt;=$BE58),"実","外"),IF(AND(AK$6&gt;=$BD58,AK$6&lt;=$BE58),"計",IF(AND(AK$6&gt;=$BH58,AK$6&lt;=$BI58),"遅","")))))</f>
        <v/>
      </c>
      <c r="AL58" s="93" t="str">
        <f>IF($BB58="","",IF(AL$6=$BJ58,"◆",IF(AND(AL$6&gt;=$BF58,AL$6&lt;=$BG58),IF(AND(AL$6&gt;=$BD58,AL$6&lt;=$BE58),"実","外"),IF(AND(AL$6&gt;=$BD58,AL$6&lt;=$BE58),"計",IF(AND(AL$6&gt;=$BH58,AL$6&lt;=$BI58),"遅","")))))</f>
        <v/>
      </c>
      <c r="AM58" s="93" t="str">
        <f>IF($BB58="","",IF(AM$6=$BJ58,"◆",IF(AND(AM$6&gt;=$BF58,AM$6&lt;=$BG58),IF(AND(AM$6&gt;=$BD58,AM$6&lt;=$BE58),"実","外"),IF(AND(AM$6&gt;=$BD58,AM$6&lt;=$BE58),"計",IF(AND(AM$6&gt;=$BH58,AM$6&lt;=$BI58),"遅","")))))</f>
        <v/>
      </c>
      <c r="AN58" s="93" t="str">
        <f>IF($BB58="","",IF(AN$6=$BJ58,"◆",IF(AND(AN$6&gt;=$BF58,AN$6&lt;=$BG58),IF(AND(AN$6&gt;=$BD58,AN$6&lt;=$BE58),"実","外"),IF(AND(AN$6&gt;=$BD58,AN$6&lt;=$BE58),"計",IF(AND(AN$6&gt;=$BH58,AN$6&lt;=$BI58),"遅","")))))</f>
        <v/>
      </c>
      <c r="AO58" s="93" t="str">
        <f>IF($BB58="","",IF(AO$6=$BJ58,"◆",IF(AND(AO$6&gt;=$BF58,AO$6&lt;=$BG58),IF(AND(AO$6&gt;=$BD58,AO$6&lt;=$BE58),"実","外"),IF(AND(AO$6&gt;=$BD58,AO$6&lt;=$BE58),"計",IF(AND(AO$6&gt;=$BH58,AO$6&lt;=$BI58),"遅","")))))</f>
        <v/>
      </c>
      <c r="AP58" s="93" t="str">
        <f>IF($BB58="","",IF(AP$6=$BJ58,"◆",IF(AND(AP$6&gt;=$BF58,AP$6&lt;=$BG58),IF(AND(AP$6&gt;=$BD58,AP$6&lt;=$BE58),"実","外"),IF(AND(AP$6&gt;=$BD58,AP$6&lt;=$BE58),"計",IF(AND(AP$6&gt;=$BH58,AP$6&lt;=$BI58),"遅","")))))</f>
        <v/>
      </c>
      <c r="AQ58" s="93" t="str">
        <f>IF($BB58="","",IF(AQ$6=$BJ58,"◆",IF(AND(AQ$6&gt;=$BF58,AQ$6&lt;=$BG58),IF(AND(AQ$6&gt;=$BD58,AQ$6&lt;=$BE58),"実","外"),IF(AND(AQ$6&gt;=$BD58,AQ$6&lt;=$BE58),"計",IF(AND(AQ$6&gt;=$BH58,AQ$6&lt;=$BI58),"遅","")))))</f>
        <v/>
      </c>
      <c r="AR58" s="93" t="str">
        <f>IF($BB58="","",IF(AR$6=$BJ58,"◆",IF(AND(AR$6&gt;=$BF58,AR$6&lt;=$BG58),IF(AND(AR$6&gt;=$BD58,AR$6&lt;=$BE58),"実","外"),IF(AND(AR$6&gt;=$BD58,AR$6&lt;=$BE58),"計",IF(AND(AR$6&gt;=$BH58,AR$6&lt;=$BI58),"遅","")))))</f>
        <v/>
      </c>
      <c r="AS58" s="93" t="str">
        <f>IF($BB58="","",IF(AS$6=$BJ58,"◆",IF(AND(AS$6&gt;=$BF58,AS$6&lt;=$BG58),IF(AND(AS$6&gt;=$BD58,AS$6&lt;=$BE58),"実","外"),IF(AND(AS$6&gt;=$BD58,AS$6&lt;=$BE58),"計",IF(AND(AS$6&gt;=$BH58,AS$6&lt;=$BI58),"遅","")))))</f>
        <v/>
      </c>
      <c r="AT58" s="93" t="str">
        <f>IF($BB58="","",IF(AT$6=$BJ58,"◆",IF(AND(AT$6&gt;=$BF58,AT$6&lt;=$BG58),IF(AND(AT$6&gt;=$BD58,AT$6&lt;=$BE58),"実","外"),IF(AND(AT$6&gt;=$BD58,AT$6&lt;=$BE58),"計",IF(AND(AT$6&gt;=$BH58,AT$6&lt;=$BI58),"遅","")))))</f>
        <v/>
      </c>
      <c r="AU58" s="93" t="str">
        <f>IF($BB58="","",IF(AU$6=$BJ58,"◆",IF(AND(AU$6&gt;=$BF58,AU$6&lt;=$BG58),IF(AND(AU$6&gt;=$BD58,AU$6&lt;=$BE58),"実","外"),IF(AND(AU$6&gt;=$BD58,AU$6&lt;=$BE58),"計",IF(AND(AU$6&gt;=$BH58,AU$6&lt;=$BI58),"遅","")))))</f>
        <v/>
      </c>
      <c r="AV58" s="93" t="str">
        <f>IF($BB58="","",IF(AV$6=$BJ58,"◆",IF(AND(AV$6&gt;=$BF58,AV$6&lt;=$BG58),IF(AND(AV$6&gt;=$BD58,AV$6&lt;=$BE58),"実","外"),IF(AND(AV$6&gt;=$BD58,AV$6&lt;=$BE58),"計",IF(AND(AV$6&gt;=$BH58,AV$6&lt;=$BI58),"遅","")))))</f>
        <v/>
      </c>
      <c r="AW58" s="93" t="str">
        <f>IF($BB58="","",IF(AW$6=$BJ58,"◆",IF(AND(AW$6&gt;=$BF58,AW$6&lt;=$BG58),IF(AND(AW$6&gt;=$BD58,AW$6&lt;=$BE58),"実","外"),IF(AND(AW$6&gt;=$BD58,AW$6&lt;=$BE58),"計",IF(AND(AW$6&gt;=$BH58,AW$6&lt;=$BI58),"遅","")))))</f>
        <v/>
      </c>
      <c r="AX58" s="93" t="str">
        <f>IF($BB58="","",IF(AX$6=$BJ58,"◆",IF(AND(AX$6&gt;=$BF58,AX$6&lt;=$BG58),IF(AND(AX$6&gt;=$BD58,AX$6&lt;=$BE58),"実","外"),IF(AND(AX$6&gt;=$BD58,AX$6&lt;=$BE58),"計",IF(AND(AX$6&gt;=$BH58,AX$6&lt;=$BI58),"遅","")))))</f>
        <v/>
      </c>
      <c r="AY58" s="93" t="str">
        <f>IF($BB58="","",IF(AY$6=$BJ58,"◆",IF(AND(AY$6&gt;=$BF58,AY$6&lt;=$BG58),IF(AND(AY$6&gt;=$BD58,AY$6&lt;=$BE58),"実","外"),IF(AND(AY$6&gt;=$BD58,AY$6&lt;=$BE58),"計",IF(AND(AY$6&gt;=$BH58,AY$6&lt;=$BI58),"遅","")))))</f>
        <v/>
      </c>
      <c r="AZ58" s="93" t="str">
        <f>IF($BB58="","",IF(AZ$6=$BJ58,"◆",IF(AND(AZ$6&gt;=$BF58,AZ$6&lt;=$BG58),IF(AND(AZ$6&gt;=$BD58,AZ$6&lt;=$BE58),"実","外"),IF(AND(AZ$6&gt;=$BD58,AZ$6&lt;=$BE58),"計",IF(AND(AZ$6&gt;=$BH58,AZ$6&lt;=$BI58),"遅","")))))</f>
        <v/>
      </c>
      <c r="BB58" t="str">
        <f>IF(51&gt;COUNTIF(tblSteps[日別対象],1),"",IFERROR(MATCH(51,tblSteps[日別順位],0),""))</f>
        <v/>
      </c>
      <c r="BC58" t="str">
        <f>IF($BB58="","",INDEX(tblSteps[案件ID],$BB58)&amp;"")</f>
        <v/>
      </c>
      <c r="BD58" t="str">
        <f>IF($BB58="","",INDEX(tblSteps[計開],$BB58))</f>
        <v/>
      </c>
      <c r="BE58" t="str">
        <f>IF($BB58="","",INDEX(tblSteps[計終],$BB58))</f>
        <v/>
      </c>
      <c r="BF58" t="str">
        <f>IF($BB58="","",INDEX(tblSteps[実開],$BB58))</f>
        <v/>
      </c>
      <c r="BG58" t="str">
        <f>IF($BB58="","",INDEX(tblSteps[実終],$BB58))</f>
        <v/>
      </c>
      <c r="BH58" t="str">
        <f>IF($BB58="","",INDEX(tblSteps[遅開],$BB58))</f>
        <v/>
      </c>
      <c r="BI58" t="str">
        <f>IF($BB58="","",INDEX(tblSteps[遅終],$BB58))</f>
        <v/>
      </c>
      <c r="BJ58" t="str">
        <f>IF($BB58="","",INDEX(tblSteps[納期値],$BB58))</f>
        <v/>
      </c>
    </row>
    <row r="59" ht="18" customHeight="1">
      <c r="A59" s="89" t="str">
        <f>IF($BB59="","",INDEX(tblSteps[工程ID],$BB59)&amp;"")</f>
        <v/>
      </c>
      <c r="B59" s="88" t="str">
        <f>IF($BB59="","",IF($BC59=$BC58,"",$BC59&amp;" "&amp;INDEX(tblSteps[案件名],$BB59)))</f>
        <v/>
      </c>
      <c r="C59" s="88" t="str">
        <f>IF($BB59="","",INDEX(tblSteps[工程名],$BB59)&amp;"")</f>
        <v/>
      </c>
      <c r="D59" s="89" t="str">
        <f>IF($BB59="","",INDEX(tblSteps[担当],$BB59)&amp;"")</f>
        <v/>
      </c>
      <c r="E59" s="89" t="str">
        <f>IF($BB59="","",INDEX(tblSteps[状態],$BB59)&amp;"")</f>
        <v/>
      </c>
      <c r="F59" s="90" t="str">
        <f>IF($BB59="","",IF(ISNUMBER(INDEX(tblSteps[進捗率],$BB59)),INDEX(tblSteps[進捗率],$BB59),""))</f>
        <v/>
      </c>
      <c r="G59" s="91" t="str">
        <f>IF($BB59="","",IF(ISNUMBER(INDEX(tblSteps[計画開始日],$BB59)),INDEX(tblSteps[計画開始日],$BB59),"未入力"))</f>
        <v/>
      </c>
      <c r="H59" s="91" t="str">
        <f>IF($BB59="","",IF(ISNUMBER(INDEX(tblSteps[計画終了日],$BB59)),INDEX(tblSteps[計画終了日],$BB59),"未入力"))</f>
        <v/>
      </c>
      <c r="I59" s="91" t="str">
        <f>IF($BB59="","",IF(ISNUMBER(INDEX(tblSteps[完了見込日],$BB59)),INDEX(tblSteps[完了見込日],$BB59),""))</f>
        <v/>
      </c>
      <c r="J59" s="92" t="str">
        <f>IF($BB59="","",INDEX(tblSteps[注意短],$BB59)&amp;"")</f>
        <v/>
      </c>
      <c r="K59" s="93" t="str">
        <f>IF($BB59="","",IF(K$6=$BJ59,"◆",IF(AND(K$6&gt;=$BF59,K$6&lt;=$BG59),IF(AND(K$6&gt;=$BD59,K$6&lt;=$BE59),"実","外"),IF(AND(K$6&gt;=$BD59,K$6&lt;=$BE59),"計",IF(AND(K$6&gt;=$BH59,K$6&lt;=$BI59),"遅","")))))</f>
        <v/>
      </c>
      <c r="L59" s="93" t="str">
        <f>IF($BB59="","",IF(L$6=$BJ59,"◆",IF(AND(L$6&gt;=$BF59,L$6&lt;=$BG59),IF(AND(L$6&gt;=$BD59,L$6&lt;=$BE59),"実","外"),IF(AND(L$6&gt;=$BD59,L$6&lt;=$BE59),"計",IF(AND(L$6&gt;=$BH59,L$6&lt;=$BI59),"遅","")))))</f>
        <v/>
      </c>
      <c r="M59" s="93" t="str">
        <f>IF($BB59="","",IF(M$6=$BJ59,"◆",IF(AND(M$6&gt;=$BF59,M$6&lt;=$BG59),IF(AND(M$6&gt;=$BD59,M$6&lt;=$BE59),"実","外"),IF(AND(M$6&gt;=$BD59,M$6&lt;=$BE59),"計",IF(AND(M$6&gt;=$BH59,M$6&lt;=$BI59),"遅","")))))</f>
        <v/>
      </c>
      <c r="N59" s="93" t="str">
        <f>IF($BB59="","",IF(N$6=$BJ59,"◆",IF(AND(N$6&gt;=$BF59,N$6&lt;=$BG59),IF(AND(N$6&gt;=$BD59,N$6&lt;=$BE59),"実","外"),IF(AND(N$6&gt;=$BD59,N$6&lt;=$BE59),"計",IF(AND(N$6&gt;=$BH59,N$6&lt;=$BI59),"遅","")))))</f>
        <v/>
      </c>
      <c r="O59" s="93" t="str">
        <f>IF($BB59="","",IF(O$6=$BJ59,"◆",IF(AND(O$6&gt;=$BF59,O$6&lt;=$BG59),IF(AND(O$6&gt;=$BD59,O$6&lt;=$BE59),"実","外"),IF(AND(O$6&gt;=$BD59,O$6&lt;=$BE59),"計",IF(AND(O$6&gt;=$BH59,O$6&lt;=$BI59),"遅","")))))</f>
        <v/>
      </c>
      <c r="P59" s="93" t="str">
        <f>IF($BB59="","",IF(P$6=$BJ59,"◆",IF(AND(P$6&gt;=$BF59,P$6&lt;=$BG59),IF(AND(P$6&gt;=$BD59,P$6&lt;=$BE59),"実","外"),IF(AND(P$6&gt;=$BD59,P$6&lt;=$BE59),"計",IF(AND(P$6&gt;=$BH59,P$6&lt;=$BI59),"遅","")))))</f>
        <v/>
      </c>
      <c r="Q59" s="93" t="str">
        <f>IF($BB59="","",IF(Q$6=$BJ59,"◆",IF(AND(Q$6&gt;=$BF59,Q$6&lt;=$BG59),IF(AND(Q$6&gt;=$BD59,Q$6&lt;=$BE59),"実","外"),IF(AND(Q$6&gt;=$BD59,Q$6&lt;=$BE59),"計",IF(AND(Q$6&gt;=$BH59,Q$6&lt;=$BI59),"遅","")))))</f>
        <v/>
      </c>
      <c r="R59" s="93" t="str">
        <f>IF($BB59="","",IF(R$6=$BJ59,"◆",IF(AND(R$6&gt;=$BF59,R$6&lt;=$BG59),IF(AND(R$6&gt;=$BD59,R$6&lt;=$BE59),"実","外"),IF(AND(R$6&gt;=$BD59,R$6&lt;=$BE59),"計",IF(AND(R$6&gt;=$BH59,R$6&lt;=$BI59),"遅","")))))</f>
        <v/>
      </c>
      <c r="S59" s="93" t="str">
        <f>IF($BB59="","",IF(S$6=$BJ59,"◆",IF(AND(S$6&gt;=$BF59,S$6&lt;=$BG59),IF(AND(S$6&gt;=$BD59,S$6&lt;=$BE59),"実","外"),IF(AND(S$6&gt;=$BD59,S$6&lt;=$BE59),"計",IF(AND(S$6&gt;=$BH59,S$6&lt;=$BI59),"遅","")))))</f>
        <v/>
      </c>
      <c r="T59" s="93" t="str">
        <f>IF($BB59="","",IF(T$6=$BJ59,"◆",IF(AND(T$6&gt;=$BF59,T$6&lt;=$BG59),IF(AND(T$6&gt;=$BD59,T$6&lt;=$BE59),"実","外"),IF(AND(T$6&gt;=$BD59,T$6&lt;=$BE59),"計",IF(AND(T$6&gt;=$BH59,T$6&lt;=$BI59),"遅","")))))</f>
        <v/>
      </c>
      <c r="U59" s="93" t="str">
        <f>IF($BB59="","",IF(U$6=$BJ59,"◆",IF(AND(U$6&gt;=$BF59,U$6&lt;=$BG59),IF(AND(U$6&gt;=$BD59,U$6&lt;=$BE59),"実","外"),IF(AND(U$6&gt;=$BD59,U$6&lt;=$BE59),"計",IF(AND(U$6&gt;=$BH59,U$6&lt;=$BI59),"遅","")))))</f>
        <v/>
      </c>
      <c r="V59" s="93" t="str">
        <f>IF($BB59="","",IF(V$6=$BJ59,"◆",IF(AND(V$6&gt;=$BF59,V$6&lt;=$BG59),IF(AND(V$6&gt;=$BD59,V$6&lt;=$BE59),"実","外"),IF(AND(V$6&gt;=$BD59,V$6&lt;=$BE59),"計",IF(AND(V$6&gt;=$BH59,V$6&lt;=$BI59),"遅","")))))</f>
        <v/>
      </c>
      <c r="W59" s="93" t="str">
        <f>IF($BB59="","",IF(W$6=$BJ59,"◆",IF(AND(W$6&gt;=$BF59,W$6&lt;=$BG59),IF(AND(W$6&gt;=$BD59,W$6&lt;=$BE59),"実","外"),IF(AND(W$6&gt;=$BD59,W$6&lt;=$BE59),"計",IF(AND(W$6&gt;=$BH59,W$6&lt;=$BI59),"遅","")))))</f>
        <v/>
      </c>
      <c r="X59" s="93" t="str">
        <f>IF($BB59="","",IF(X$6=$BJ59,"◆",IF(AND(X$6&gt;=$BF59,X$6&lt;=$BG59),IF(AND(X$6&gt;=$BD59,X$6&lt;=$BE59),"実","外"),IF(AND(X$6&gt;=$BD59,X$6&lt;=$BE59),"計",IF(AND(X$6&gt;=$BH59,X$6&lt;=$BI59),"遅","")))))</f>
        <v/>
      </c>
      <c r="Y59" s="93" t="str">
        <f>IF($BB59="","",IF(Y$6=$BJ59,"◆",IF(AND(Y$6&gt;=$BF59,Y$6&lt;=$BG59),IF(AND(Y$6&gt;=$BD59,Y$6&lt;=$BE59),"実","外"),IF(AND(Y$6&gt;=$BD59,Y$6&lt;=$BE59),"計",IF(AND(Y$6&gt;=$BH59,Y$6&lt;=$BI59),"遅","")))))</f>
        <v/>
      </c>
      <c r="Z59" s="93" t="str">
        <f>IF($BB59="","",IF(Z$6=$BJ59,"◆",IF(AND(Z$6&gt;=$BF59,Z$6&lt;=$BG59),IF(AND(Z$6&gt;=$BD59,Z$6&lt;=$BE59),"実","外"),IF(AND(Z$6&gt;=$BD59,Z$6&lt;=$BE59),"計",IF(AND(Z$6&gt;=$BH59,Z$6&lt;=$BI59),"遅","")))))</f>
        <v/>
      </c>
      <c r="AA59" s="93" t="str">
        <f>IF($BB59="","",IF(AA$6=$BJ59,"◆",IF(AND(AA$6&gt;=$BF59,AA$6&lt;=$BG59),IF(AND(AA$6&gt;=$BD59,AA$6&lt;=$BE59),"実","外"),IF(AND(AA$6&gt;=$BD59,AA$6&lt;=$BE59),"計",IF(AND(AA$6&gt;=$BH59,AA$6&lt;=$BI59),"遅","")))))</f>
        <v/>
      </c>
      <c r="AB59" s="93" t="str">
        <f>IF($BB59="","",IF(AB$6=$BJ59,"◆",IF(AND(AB$6&gt;=$BF59,AB$6&lt;=$BG59),IF(AND(AB$6&gt;=$BD59,AB$6&lt;=$BE59),"実","外"),IF(AND(AB$6&gt;=$BD59,AB$6&lt;=$BE59),"計",IF(AND(AB$6&gt;=$BH59,AB$6&lt;=$BI59),"遅","")))))</f>
        <v/>
      </c>
      <c r="AC59" s="93" t="str">
        <f>IF($BB59="","",IF(AC$6=$BJ59,"◆",IF(AND(AC$6&gt;=$BF59,AC$6&lt;=$BG59),IF(AND(AC$6&gt;=$BD59,AC$6&lt;=$BE59),"実","外"),IF(AND(AC$6&gt;=$BD59,AC$6&lt;=$BE59),"計",IF(AND(AC$6&gt;=$BH59,AC$6&lt;=$BI59),"遅","")))))</f>
        <v/>
      </c>
      <c r="AD59" s="93" t="str">
        <f>IF($BB59="","",IF(AD$6=$BJ59,"◆",IF(AND(AD$6&gt;=$BF59,AD$6&lt;=$BG59),IF(AND(AD$6&gt;=$BD59,AD$6&lt;=$BE59),"実","外"),IF(AND(AD$6&gt;=$BD59,AD$6&lt;=$BE59),"計",IF(AND(AD$6&gt;=$BH59,AD$6&lt;=$BI59),"遅","")))))</f>
        <v/>
      </c>
      <c r="AE59" s="93" t="str">
        <f>IF($BB59="","",IF(AE$6=$BJ59,"◆",IF(AND(AE$6&gt;=$BF59,AE$6&lt;=$BG59),IF(AND(AE$6&gt;=$BD59,AE$6&lt;=$BE59),"実","外"),IF(AND(AE$6&gt;=$BD59,AE$6&lt;=$BE59),"計",IF(AND(AE$6&gt;=$BH59,AE$6&lt;=$BI59),"遅","")))))</f>
        <v/>
      </c>
      <c r="AF59" s="93" t="str">
        <f>IF($BB59="","",IF(AF$6=$BJ59,"◆",IF(AND(AF$6&gt;=$BF59,AF$6&lt;=$BG59),IF(AND(AF$6&gt;=$BD59,AF$6&lt;=$BE59),"実","外"),IF(AND(AF$6&gt;=$BD59,AF$6&lt;=$BE59),"計",IF(AND(AF$6&gt;=$BH59,AF$6&lt;=$BI59),"遅","")))))</f>
        <v/>
      </c>
      <c r="AG59" s="93" t="str">
        <f>IF($BB59="","",IF(AG$6=$BJ59,"◆",IF(AND(AG$6&gt;=$BF59,AG$6&lt;=$BG59),IF(AND(AG$6&gt;=$BD59,AG$6&lt;=$BE59),"実","外"),IF(AND(AG$6&gt;=$BD59,AG$6&lt;=$BE59),"計",IF(AND(AG$6&gt;=$BH59,AG$6&lt;=$BI59),"遅","")))))</f>
        <v/>
      </c>
      <c r="AH59" s="93" t="str">
        <f>IF($BB59="","",IF(AH$6=$BJ59,"◆",IF(AND(AH$6&gt;=$BF59,AH$6&lt;=$BG59),IF(AND(AH$6&gt;=$BD59,AH$6&lt;=$BE59),"実","外"),IF(AND(AH$6&gt;=$BD59,AH$6&lt;=$BE59),"計",IF(AND(AH$6&gt;=$BH59,AH$6&lt;=$BI59),"遅","")))))</f>
        <v/>
      </c>
      <c r="AI59" s="93" t="str">
        <f>IF($BB59="","",IF(AI$6=$BJ59,"◆",IF(AND(AI$6&gt;=$BF59,AI$6&lt;=$BG59),IF(AND(AI$6&gt;=$BD59,AI$6&lt;=$BE59),"実","外"),IF(AND(AI$6&gt;=$BD59,AI$6&lt;=$BE59),"計",IF(AND(AI$6&gt;=$BH59,AI$6&lt;=$BI59),"遅","")))))</f>
        <v/>
      </c>
      <c r="AJ59" s="93" t="str">
        <f>IF($BB59="","",IF(AJ$6=$BJ59,"◆",IF(AND(AJ$6&gt;=$BF59,AJ$6&lt;=$BG59),IF(AND(AJ$6&gt;=$BD59,AJ$6&lt;=$BE59),"実","外"),IF(AND(AJ$6&gt;=$BD59,AJ$6&lt;=$BE59),"計",IF(AND(AJ$6&gt;=$BH59,AJ$6&lt;=$BI59),"遅","")))))</f>
        <v/>
      </c>
      <c r="AK59" s="93" t="str">
        <f>IF($BB59="","",IF(AK$6=$BJ59,"◆",IF(AND(AK$6&gt;=$BF59,AK$6&lt;=$BG59),IF(AND(AK$6&gt;=$BD59,AK$6&lt;=$BE59),"実","外"),IF(AND(AK$6&gt;=$BD59,AK$6&lt;=$BE59),"計",IF(AND(AK$6&gt;=$BH59,AK$6&lt;=$BI59),"遅","")))))</f>
        <v/>
      </c>
      <c r="AL59" s="93" t="str">
        <f>IF($BB59="","",IF(AL$6=$BJ59,"◆",IF(AND(AL$6&gt;=$BF59,AL$6&lt;=$BG59),IF(AND(AL$6&gt;=$BD59,AL$6&lt;=$BE59),"実","外"),IF(AND(AL$6&gt;=$BD59,AL$6&lt;=$BE59),"計",IF(AND(AL$6&gt;=$BH59,AL$6&lt;=$BI59),"遅","")))))</f>
        <v/>
      </c>
      <c r="AM59" s="93" t="str">
        <f>IF($BB59="","",IF(AM$6=$BJ59,"◆",IF(AND(AM$6&gt;=$BF59,AM$6&lt;=$BG59),IF(AND(AM$6&gt;=$BD59,AM$6&lt;=$BE59),"実","外"),IF(AND(AM$6&gt;=$BD59,AM$6&lt;=$BE59),"計",IF(AND(AM$6&gt;=$BH59,AM$6&lt;=$BI59),"遅","")))))</f>
        <v/>
      </c>
      <c r="AN59" s="93" t="str">
        <f>IF($BB59="","",IF(AN$6=$BJ59,"◆",IF(AND(AN$6&gt;=$BF59,AN$6&lt;=$BG59),IF(AND(AN$6&gt;=$BD59,AN$6&lt;=$BE59),"実","外"),IF(AND(AN$6&gt;=$BD59,AN$6&lt;=$BE59),"計",IF(AND(AN$6&gt;=$BH59,AN$6&lt;=$BI59),"遅","")))))</f>
        <v/>
      </c>
      <c r="AO59" s="93" t="str">
        <f>IF($BB59="","",IF(AO$6=$BJ59,"◆",IF(AND(AO$6&gt;=$BF59,AO$6&lt;=$BG59),IF(AND(AO$6&gt;=$BD59,AO$6&lt;=$BE59),"実","外"),IF(AND(AO$6&gt;=$BD59,AO$6&lt;=$BE59),"計",IF(AND(AO$6&gt;=$BH59,AO$6&lt;=$BI59),"遅","")))))</f>
        <v/>
      </c>
      <c r="AP59" s="93" t="str">
        <f>IF($BB59="","",IF(AP$6=$BJ59,"◆",IF(AND(AP$6&gt;=$BF59,AP$6&lt;=$BG59),IF(AND(AP$6&gt;=$BD59,AP$6&lt;=$BE59),"実","外"),IF(AND(AP$6&gt;=$BD59,AP$6&lt;=$BE59),"計",IF(AND(AP$6&gt;=$BH59,AP$6&lt;=$BI59),"遅","")))))</f>
        <v/>
      </c>
      <c r="AQ59" s="93" t="str">
        <f>IF($BB59="","",IF(AQ$6=$BJ59,"◆",IF(AND(AQ$6&gt;=$BF59,AQ$6&lt;=$BG59),IF(AND(AQ$6&gt;=$BD59,AQ$6&lt;=$BE59),"実","外"),IF(AND(AQ$6&gt;=$BD59,AQ$6&lt;=$BE59),"計",IF(AND(AQ$6&gt;=$BH59,AQ$6&lt;=$BI59),"遅","")))))</f>
        <v/>
      </c>
      <c r="AR59" s="93" t="str">
        <f>IF($BB59="","",IF(AR$6=$BJ59,"◆",IF(AND(AR$6&gt;=$BF59,AR$6&lt;=$BG59),IF(AND(AR$6&gt;=$BD59,AR$6&lt;=$BE59),"実","外"),IF(AND(AR$6&gt;=$BD59,AR$6&lt;=$BE59),"計",IF(AND(AR$6&gt;=$BH59,AR$6&lt;=$BI59),"遅","")))))</f>
        <v/>
      </c>
      <c r="AS59" s="93" t="str">
        <f>IF($BB59="","",IF(AS$6=$BJ59,"◆",IF(AND(AS$6&gt;=$BF59,AS$6&lt;=$BG59),IF(AND(AS$6&gt;=$BD59,AS$6&lt;=$BE59),"実","外"),IF(AND(AS$6&gt;=$BD59,AS$6&lt;=$BE59),"計",IF(AND(AS$6&gt;=$BH59,AS$6&lt;=$BI59),"遅","")))))</f>
        <v/>
      </c>
      <c r="AT59" s="93" t="str">
        <f>IF($BB59="","",IF(AT$6=$BJ59,"◆",IF(AND(AT$6&gt;=$BF59,AT$6&lt;=$BG59),IF(AND(AT$6&gt;=$BD59,AT$6&lt;=$BE59),"実","外"),IF(AND(AT$6&gt;=$BD59,AT$6&lt;=$BE59),"計",IF(AND(AT$6&gt;=$BH59,AT$6&lt;=$BI59),"遅","")))))</f>
        <v/>
      </c>
      <c r="AU59" s="93" t="str">
        <f>IF($BB59="","",IF(AU$6=$BJ59,"◆",IF(AND(AU$6&gt;=$BF59,AU$6&lt;=$BG59),IF(AND(AU$6&gt;=$BD59,AU$6&lt;=$BE59),"実","外"),IF(AND(AU$6&gt;=$BD59,AU$6&lt;=$BE59),"計",IF(AND(AU$6&gt;=$BH59,AU$6&lt;=$BI59),"遅","")))))</f>
        <v/>
      </c>
      <c r="AV59" s="93" t="str">
        <f>IF($BB59="","",IF(AV$6=$BJ59,"◆",IF(AND(AV$6&gt;=$BF59,AV$6&lt;=$BG59),IF(AND(AV$6&gt;=$BD59,AV$6&lt;=$BE59),"実","外"),IF(AND(AV$6&gt;=$BD59,AV$6&lt;=$BE59),"計",IF(AND(AV$6&gt;=$BH59,AV$6&lt;=$BI59),"遅","")))))</f>
        <v/>
      </c>
      <c r="AW59" s="93" t="str">
        <f>IF($BB59="","",IF(AW$6=$BJ59,"◆",IF(AND(AW$6&gt;=$BF59,AW$6&lt;=$BG59),IF(AND(AW$6&gt;=$BD59,AW$6&lt;=$BE59),"実","外"),IF(AND(AW$6&gt;=$BD59,AW$6&lt;=$BE59),"計",IF(AND(AW$6&gt;=$BH59,AW$6&lt;=$BI59),"遅","")))))</f>
        <v/>
      </c>
      <c r="AX59" s="93" t="str">
        <f>IF($BB59="","",IF(AX$6=$BJ59,"◆",IF(AND(AX$6&gt;=$BF59,AX$6&lt;=$BG59),IF(AND(AX$6&gt;=$BD59,AX$6&lt;=$BE59),"実","外"),IF(AND(AX$6&gt;=$BD59,AX$6&lt;=$BE59),"計",IF(AND(AX$6&gt;=$BH59,AX$6&lt;=$BI59),"遅","")))))</f>
        <v/>
      </c>
      <c r="AY59" s="93" t="str">
        <f>IF($BB59="","",IF(AY$6=$BJ59,"◆",IF(AND(AY$6&gt;=$BF59,AY$6&lt;=$BG59),IF(AND(AY$6&gt;=$BD59,AY$6&lt;=$BE59),"実","外"),IF(AND(AY$6&gt;=$BD59,AY$6&lt;=$BE59),"計",IF(AND(AY$6&gt;=$BH59,AY$6&lt;=$BI59),"遅","")))))</f>
        <v/>
      </c>
      <c r="AZ59" s="93" t="str">
        <f>IF($BB59="","",IF(AZ$6=$BJ59,"◆",IF(AND(AZ$6&gt;=$BF59,AZ$6&lt;=$BG59),IF(AND(AZ$6&gt;=$BD59,AZ$6&lt;=$BE59),"実","外"),IF(AND(AZ$6&gt;=$BD59,AZ$6&lt;=$BE59),"計",IF(AND(AZ$6&gt;=$BH59,AZ$6&lt;=$BI59),"遅","")))))</f>
        <v/>
      </c>
      <c r="BB59" t="str">
        <f>IF(52&gt;COUNTIF(tblSteps[日別対象],1),"",IFERROR(MATCH(52,tblSteps[日別順位],0),""))</f>
        <v/>
      </c>
      <c r="BC59" t="str">
        <f>IF($BB59="","",INDEX(tblSteps[案件ID],$BB59)&amp;"")</f>
        <v/>
      </c>
      <c r="BD59" t="str">
        <f>IF($BB59="","",INDEX(tblSteps[計開],$BB59))</f>
        <v/>
      </c>
      <c r="BE59" t="str">
        <f>IF($BB59="","",INDEX(tblSteps[計終],$BB59))</f>
        <v/>
      </c>
      <c r="BF59" t="str">
        <f>IF($BB59="","",INDEX(tblSteps[実開],$BB59))</f>
        <v/>
      </c>
      <c r="BG59" t="str">
        <f>IF($BB59="","",INDEX(tblSteps[実終],$BB59))</f>
        <v/>
      </c>
      <c r="BH59" t="str">
        <f>IF($BB59="","",INDEX(tblSteps[遅開],$BB59))</f>
        <v/>
      </c>
      <c r="BI59" t="str">
        <f>IF($BB59="","",INDEX(tblSteps[遅終],$BB59))</f>
        <v/>
      </c>
      <c r="BJ59" t="str">
        <f>IF($BB59="","",INDEX(tblSteps[納期値],$BB59))</f>
        <v/>
      </c>
    </row>
    <row r="60" ht="18" customHeight="1">
      <c r="A60" s="89" t="str">
        <f>IF($BB60="","",INDEX(tblSteps[工程ID],$BB60)&amp;"")</f>
        <v/>
      </c>
      <c r="B60" s="88" t="str">
        <f>IF($BB60="","",IF($BC60=$BC59,"",$BC60&amp;" "&amp;INDEX(tblSteps[案件名],$BB60)))</f>
        <v/>
      </c>
      <c r="C60" s="88" t="str">
        <f>IF($BB60="","",INDEX(tblSteps[工程名],$BB60)&amp;"")</f>
        <v/>
      </c>
      <c r="D60" s="89" t="str">
        <f>IF($BB60="","",INDEX(tblSteps[担当],$BB60)&amp;"")</f>
        <v/>
      </c>
      <c r="E60" s="89" t="str">
        <f>IF($BB60="","",INDEX(tblSteps[状態],$BB60)&amp;"")</f>
        <v/>
      </c>
      <c r="F60" s="90" t="str">
        <f>IF($BB60="","",IF(ISNUMBER(INDEX(tblSteps[進捗率],$BB60)),INDEX(tblSteps[進捗率],$BB60),""))</f>
        <v/>
      </c>
      <c r="G60" s="91" t="str">
        <f>IF($BB60="","",IF(ISNUMBER(INDEX(tblSteps[計画開始日],$BB60)),INDEX(tblSteps[計画開始日],$BB60),"未入力"))</f>
        <v/>
      </c>
      <c r="H60" s="91" t="str">
        <f>IF($BB60="","",IF(ISNUMBER(INDEX(tblSteps[計画終了日],$BB60)),INDEX(tblSteps[計画終了日],$BB60),"未入力"))</f>
        <v/>
      </c>
      <c r="I60" s="91" t="str">
        <f>IF($BB60="","",IF(ISNUMBER(INDEX(tblSteps[完了見込日],$BB60)),INDEX(tblSteps[完了見込日],$BB60),""))</f>
        <v/>
      </c>
      <c r="J60" s="92" t="str">
        <f>IF($BB60="","",INDEX(tblSteps[注意短],$BB60)&amp;"")</f>
        <v/>
      </c>
      <c r="K60" s="93" t="str">
        <f>IF($BB60="","",IF(K$6=$BJ60,"◆",IF(AND(K$6&gt;=$BF60,K$6&lt;=$BG60),IF(AND(K$6&gt;=$BD60,K$6&lt;=$BE60),"実","外"),IF(AND(K$6&gt;=$BD60,K$6&lt;=$BE60),"計",IF(AND(K$6&gt;=$BH60,K$6&lt;=$BI60),"遅","")))))</f>
        <v/>
      </c>
      <c r="L60" s="93" t="str">
        <f>IF($BB60="","",IF(L$6=$BJ60,"◆",IF(AND(L$6&gt;=$BF60,L$6&lt;=$BG60),IF(AND(L$6&gt;=$BD60,L$6&lt;=$BE60),"実","外"),IF(AND(L$6&gt;=$BD60,L$6&lt;=$BE60),"計",IF(AND(L$6&gt;=$BH60,L$6&lt;=$BI60),"遅","")))))</f>
        <v/>
      </c>
      <c r="M60" s="93" t="str">
        <f>IF($BB60="","",IF(M$6=$BJ60,"◆",IF(AND(M$6&gt;=$BF60,M$6&lt;=$BG60),IF(AND(M$6&gt;=$BD60,M$6&lt;=$BE60),"実","外"),IF(AND(M$6&gt;=$BD60,M$6&lt;=$BE60),"計",IF(AND(M$6&gt;=$BH60,M$6&lt;=$BI60),"遅","")))))</f>
        <v/>
      </c>
      <c r="N60" s="93" t="str">
        <f>IF($BB60="","",IF(N$6=$BJ60,"◆",IF(AND(N$6&gt;=$BF60,N$6&lt;=$BG60),IF(AND(N$6&gt;=$BD60,N$6&lt;=$BE60),"実","外"),IF(AND(N$6&gt;=$BD60,N$6&lt;=$BE60),"計",IF(AND(N$6&gt;=$BH60,N$6&lt;=$BI60),"遅","")))))</f>
        <v/>
      </c>
      <c r="O60" s="93" t="str">
        <f>IF($BB60="","",IF(O$6=$BJ60,"◆",IF(AND(O$6&gt;=$BF60,O$6&lt;=$BG60),IF(AND(O$6&gt;=$BD60,O$6&lt;=$BE60),"実","外"),IF(AND(O$6&gt;=$BD60,O$6&lt;=$BE60),"計",IF(AND(O$6&gt;=$BH60,O$6&lt;=$BI60),"遅","")))))</f>
        <v/>
      </c>
      <c r="P60" s="93" t="str">
        <f>IF($BB60="","",IF(P$6=$BJ60,"◆",IF(AND(P$6&gt;=$BF60,P$6&lt;=$BG60),IF(AND(P$6&gt;=$BD60,P$6&lt;=$BE60),"実","外"),IF(AND(P$6&gt;=$BD60,P$6&lt;=$BE60),"計",IF(AND(P$6&gt;=$BH60,P$6&lt;=$BI60),"遅","")))))</f>
        <v/>
      </c>
      <c r="Q60" s="93" t="str">
        <f>IF($BB60="","",IF(Q$6=$BJ60,"◆",IF(AND(Q$6&gt;=$BF60,Q$6&lt;=$BG60),IF(AND(Q$6&gt;=$BD60,Q$6&lt;=$BE60),"実","外"),IF(AND(Q$6&gt;=$BD60,Q$6&lt;=$BE60),"計",IF(AND(Q$6&gt;=$BH60,Q$6&lt;=$BI60),"遅","")))))</f>
        <v/>
      </c>
      <c r="R60" s="93" t="str">
        <f>IF($BB60="","",IF(R$6=$BJ60,"◆",IF(AND(R$6&gt;=$BF60,R$6&lt;=$BG60),IF(AND(R$6&gt;=$BD60,R$6&lt;=$BE60),"実","外"),IF(AND(R$6&gt;=$BD60,R$6&lt;=$BE60),"計",IF(AND(R$6&gt;=$BH60,R$6&lt;=$BI60),"遅","")))))</f>
        <v/>
      </c>
      <c r="S60" s="93" t="str">
        <f>IF($BB60="","",IF(S$6=$BJ60,"◆",IF(AND(S$6&gt;=$BF60,S$6&lt;=$BG60),IF(AND(S$6&gt;=$BD60,S$6&lt;=$BE60),"実","外"),IF(AND(S$6&gt;=$BD60,S$6&lt;=$BE60),"計",IF(AND(S$6&gt;=$BH60,S$6&lt;=$BI60),"遅","")))))</f>
        <v/>
      </c>
      <c r="T60" s="93" t="str">
        <f>IF($BB60="","",IF(T$6=$BJ60,"◆",IF(AND(T$6&gt;=$BF60,T$6&lt;=$BG60),IF(AND(T$6&gt;=$BD60,T$6&lt;=$BE60),"実","外"),IF(AND(T$6&gt;=$BD60,T$6&lt;=$BE60),"計",IF(AND(T$6&gt;=$BH60,T$6&lt;=$BI60),"遅","")))))</f>
        <v/>
      </c>
      <c r="U60" s="93" t="str">
        <f>IF($BB60="","",IF(U$6=$BJ60,"◆",IF(AND(U$6&gt;=$BF60,U$6&lt;=$BG60),IF(AND(U$6&gt;=$BD60,U$6&lt;=$BE60),"実","外"),IF(AND(U$6&gt;=$BD60,U$6&lt;=$BE60),"計",IF(AND(U$6&gt;=$BH60,U$6&lt;=$BI60),"遅","")))))</f>
        <v/>
      </c>
      <c r="V60" s="93" t="str">
        <f>IF($BB60="","",IF(V$6=$BJ60,"◆",IF(AND(V$6&gt;=$BF60,V$6&lt;=$BG60),IF(AND(V$6&gt;=$BD60,V$6&lt;=$BE60),"実","外"),IF(AND(V$6&gt;=$BD60,V$6&lt;=$BE60),"計",IF(AND(V$6&gt;=$BH60,V$6&lt;=$BI60),"遅","")))))</f>
        <v/>
      </c>
      <c r="W60" s="93" t="str">
        <f>IF($BB60="","",IF(W$6=$BJ60,"◆",IF(AND(W$6&gt;=$BF60,W$6&lt;=$BG60),IF(AND(W$6&gt;=$BD60,W$6&lt;=$BE60),"実","外"),IF(AND(W$6&gt;=$BD60,W$6&lt;=$BE60),"計",IF(AND(W$6&gt;=$BH60,W$6&lt;=$BI60),"遅","")))))</f>
        <v/>
      </c>
      <c r="X60" s="93" t="str">
        <f>IF($BB60="","",IF(X$6=$BJ60,"◆",IF(AND(X$6&gt;=$BF60,X$6&lt;=$BG60),IF(AND(X$6&gt;=$BD60,X$6&lt;=$BE60),"実","外"),IF(AND(X$6&gt;=$BD60,X$6&lt;=$BE60),"計",IF(AND(X$6&gt;=$BH60,X$6&lt;=$BI60),"遅","")))))</f>
        <v/>
      </c>
      <c r="Y60" s="93" t="str">
        <f>IF($BB60="","",IF(Y$6=$BJ60,"◆",IF(AND(Y$6&gt;=$BF60,Y$6&lt;=$BG60),IF(AND(Y$6&gt;=$BD60,Y$6&lt;=$BE60),"実","外"),IF(AND(Y$6&gt;=$BD60,Y$6&lt;=$BE60),"計",IF(AND(Y$6&gt;=$BH60,Y$6&lt;=$BI60),"遅","")))))</f>
        <v/>
      </c>
      <c r="Z60" s="93" t="str">
        <f>IF($BB60="","",IF(Z$6=$BJ60,"◆",IF(AND(Z$6&gt;=$BF60,Z$6&lt;=$BG60),IF(AND(Z$6&gt;=$BD60,Z$6&lt;=$BE60),"実","外"),IF(AND(Z$6&gt;=$BD60,Z$6&lt;=$BE60),"計",IF(AND(Z$6&gt;=$BH60,Z$6&lt;=$BI60),"遅","")))))</f>
        <v/>
      </c>
      <c r="AA60" s="93" t="str">
        <f>IF($BB60="","",IF(AA$6=$BJ60,"◆",IF(AND(AA$6&gt;=$BF60,AA$6&lt;=$BG60),IF(AND(AA$6&gt;=$BD60,AA$6&lt;=$BE60),"実","外"),IF(AND(AA$6&gt;=$BD60,AA$6&lt;=$BE60),"計",IF(AND(AA$6&gt;=$BH60,AA$6&lt;=$BI60),"遅","")))))</f>
        <v/>
      </c>
      <c r="AB60" s="93" t="str">
        <f>IF($BB60="","",IF(AB$6=$BJ60,"◆",IF(AND(AB$6&gt;=$BF60,AB$6&lt;=$BG60),IF(AND(AB$6&gt;=$BD60,AB$6&lt;=$BE60),"実","外"),IF(AND(AB$6&gt;=$BD60,AB$6&lt;=$BE60),"計",IF(AND(AB$6&gt;=$BH60,AB$6&lt;=$BI60),"遅","")))))</f>
        <v/>
      </c>
      <c r="AC60" s="93" t="str">
        <f>IF($BB60="","",IF(AC$6=$BJ60,"◆",IF(AND(AC$6&gt;=$BF60,AC$6&lt;=$BG60),IF(AND(AC$6&gt;=$BD60,AC$6&lt;=$BE60),"実","外"),IF(AND(AC$6&gt;=$BD60,AC$6&lt;=$BE60),"計",IF(AND(AC$6&gt;=$BH60,AC$6&lt;=$BI60),"遅","")))))</f>
        <v/>
      </c>
      <c r="AD60" s="93" t="str">
        <f>IF($BB60="","",IF(AD$6=$BJ60,"◆",IF(AND(AD$6&gt;=$BF60,AD$6&lt;=$BG60),IF(AND(AD$6&gt;=$BD60,AD$6&lt;=$BE60),"実","外"),IF(AND(AD$6&gt;=$BD60,AD$6&lt;=$BE60),"計",IF(AND(AD$6&gt;=$BH60,AD$6&lt;=$BI60),"遅","")))))</f>
        <v/>
      </c>
      <c r="AE60" s="93" t="str">
        <f>IF($BB60="","",IF(AE$6=$BJ60,"◆",IF(AND(AE$6&gt;=$BF60,AE$6&lt;=$BG60),IF(AND(AE$6&gt;=$BD60,AE$6&lt;=$BE60),"実","外"),IF(AND(AE$6&gt;=$BD60,AE$6&lt;=$BE60),"計",IF(AND(AE$6&gt;=$BH60,AE$6&lt;=$BI60),"遅","")))))</f>
        <v/>
      </c>
      <c r="AF60" s="93" t="str">
        <f>IF($BB60="","",IF(AF$6=$BJ60,"◆",IF(AND(AF$6&gt;=$BF60,AF$6&lt;=$BG60),IF(AND(AF$6&gt;=$BD60,AF$6&lt;=$BE60),"実","外"),IF(AND(AF$6&gt;=$BD60,AF$6&lt;=$BE60),"計",IF(AND(AF$6&gt;=$BH60,AF$6&lt;=$BI60),"遅","")))))</f>
        <v/>
      </c>
      <c r="AG60" s="93" t="str">
        <f>IF($BB60="","",IF(AG$6=$BJ60,"◆",IF(AND(AG$6&gt;=$BF60,AG$6&lt;=$BG60),IF(AND(AG$6&gt;=$BD60,AG$6&lt;=$BE60),"実","外"),IF(AND(AG$6&gt;=$BD60,AG$6&lt;=$BE60),"計",IF(AND(AG$6&gt;=$BH60,AG$6&lt;=$BI60),"遅","")))))</f>
        <v/>
      </c>
      <c r="AH60" s="93" t="str">
        <f>IF($BB60="","",IF(AH$6=$BJ60,"◆",IF(AND(AH$6&gt;=$BF60,AH$6&lt;=$BG60),IF(AND(AH$6&gt;=$BD60,AH$6&lt;=$BE60),"実","外"),IF(AND(AH$6&gt;=$BD60,AH$6&lt;=$BE60),"計",IF(AND(AH$6&gt;=$BH60,AH$6&lt;=$BI60),"遅","")))))</f>
        <v/>
      </c>
      <c r="AI60" s="93" t="str">
        <f>IF($BB60="","",IF(AI$6=$BJ60,"◆",IF(AND(AI$6&gt;=$BF60,AI$6&lt;=$BG60),IF(AND(AI$6&gt;=$BD60,AI$6&lt;=$BE60),"実","外"),IF(AND(AI$6&gt;=$BD60,AI$6&lt;=$BE60),"計",IF(AND(AI$6&gt;=$BH60,AI$6&lt;=$BI60),"遅","")))))</f>
        <v/>
      </c>
      <c r="AJ60" s="93" t="str">
        <f>IF($BB60="","",IF(AJ$6=$BJ60,"◆",IF(AND(AJ$6&gt;=$BF60,AJ$6&lt;=$BG60),IF(AND(AJ$6&gt;=$BD60,AJ$6&lt;=$BE60),"実","外"),IF(AND(AJ$6&gt;=$BD60,AJ$6&lt;=$BE60),"計",IF(AND(AJ$6&gt;=$BH60,AJ$6&lt;=$BI60),"遅","")))))</f>
        <v/>
      </c>
      <c r="AK60" s="93" t="str">
        <f>IF($BB60="","",IF(AK$6=$BJ60,"◆",IF(AND(AK$6&gt;=$BF60,AK$6&lt;=$BG60),IF(AND(AK$6&gt;=$BD60,AK$6&lt;=$BE60),"実","外"),IF(AND(AK$6&gt;=$BD60,AK$6&lt;=$BE60),"計",IF(AND(AK$6&gt;=$BH60,AK$6&lt;=$BI60),"遅","")))))</f>
        <v/>
      </c>
      <c r="AL60" s="93" t="str">
        <f>IF($BB60="","",IF(AL$6=$BJ60,"◆",IF(AND(AL$6&gt;=$BF60,AL$6&lt;=$BG60),IF(AND(AL$6&gt;=$BD60,AL$6&lt;=$BE60),"実","外"),IF(AND(AL$6&gt;=$BD60,AL$6&lt;=$BE60),"計",IF(AND(AL$6&gt;=$BH60,AL$6&lt;=$BI60),"遅","")))))</f>
        <v/>
      </c>
      <c r="AM60" s="93" t="str">
        <f>IF($BB60="","",IF(AM$6=$BJ60,"◆",IF(AND(AM$6&gt;=$BF60,AM$6&lt;=$BG60),IF(AND(AM$6&gt;=$BD60,AM$6&lt;=$BE60),"実","外"),IF(AND(AM$6&gt;=$BD60,AM$6&lt;=$BE60),"計",IF(AND(AM$6&gt;=$BH60,AM$6&lt;=$BI60),"遅","")))))</f>
        <v/>
      </c>
      <c r="AN60" s="93" t="str">
        <f>IF($BB60="","",IF(AN$6=$BJ60,"◆",IF(AND(AN$6&gt;=$BF60,AN$6&lt;=$BG60),IF(AND(AN$6&gt;=$BD60,AN$6&lt;=$BE60),"実","外"),IF(AND(AN$6&gt;=$BD60,AN$6&lt;=$BE60),"計",IF(AND(AN$6&gt;=$BH60,AN$6&lt;=$BI60),"遅","")))))</f>
        <v/>
      </c>
      <c r="AO60" s="93" t="str">
        <f>IF($BB60="","",IF(AO$6=$BJ60,"◆",IF(AND(AO$6&gt;=$BF60,AO$6&lt;=$BG60),IF(AND(AO$6&gt;=$BD60,AO$6&lt;=$BE60),"実","外"),IF(AND(AO$6&gt;=$BD60,AO$6&lt;=$BE60),"計",IF(AND(AO$6&gt;=$BH60,AO$6&lt;=$BI60),"遅","")))))</f>
        <v/>
      </c>
      <c r="AP60" s="93" t="str">
        <f>IF($BB60="","",IF(AP$6=$BJ60,"◆",IF(AND(AP$6&gt;=$BF60,AP$6&lt;=$BG60),IF(AND(AP$6&gt;=$BD60,AP$6&lt;=$BE60),"実","外"),IF(AND(AP$6&gt;=$BD60,AP$6&lt;=$BE60),"計",IF(AND(AP$6&gt;=$BH60,AP$6&lt;=$BI60),"遅","")))))</f>
        <v/>
      </c>
      <c r="AQ60" s="93" t="str">
        <f>IF($BB60="","",IF(AQ$6=$BJ60,"◆",IF(AND(AQ$6&gt;=$BF60,AQ$6&lt;=$BG60),IF(AND(AQ$6&gt;=$BD60,AQ$6&lt;=$BE60),"実","外"),IF(AND(AQ$6&gt;=$BD60,AQ$6&lt;=$BE60),"計",IF(AND(AQ$6&gt;=$BH60,AQ$6&lt;=$BI60),"遅","")))))</f>
        <v/>
      </c>
      <c r="AR60" s="93" t="str">
        <f>IF($BB60="","",IF(AR$6=$BJ60,"◆",IF(AND(AR$6&gt;=$BF60,AR$6&lt;=$BG60),IF(AND(AR$6&gt;=$BD60,AR$6&lt;=$BE60),"実","外"),IF(AND(AR$6&gt;=$BD60,AR$6&lt;=$BE60),"計",IF(AND(AR$6&gt;=$BH60,AR$6&lt;=$BI60),"遅","")))))</f>
        <v/>
      </c>
      <c r="AS60" s="93" t="str">
        <f>IF($BB60="","",IF(AS$6=$BJ60,"◆",IF(AND(AS$6&gt;=$BF60,AS$6&lt;=$BG60),IF(AND(AS$6&gt;=$BD60,AS$6&lt;=$BE60),"実","外"),IF(AND(AS$6&gt;=$BD60,AS$6&lt;=$BE60),"計",IF(AND(AS$6&gt;=$BH60,AS$6&lt;=$BI60),"遅","")))))</f>
        <v/>
      </c>
      <c r="AT60" s="93" t="str">
        <f>IF($BB60="","",IF(AT$6=$BJ60,"◆",IF(AND(AT$6&gt;=$BF60,AT$6&lt;=$BG60),IF(AND(AT$6&gt;=$BD60,AT$6&lt;=$BE60),"実","外"),IF(AND(AT$6&gt;=$BD60,AT$6&lt;=$BE60),"計",IF(AND(AT$6&gt;=$BH60,AT$6&lt;=$BI60),"遅","")))))</f>
        <v/>
      </c>
      <c r="AU60" s="93" t="str">
        <f>IF($BB60="","",IF(AU$6=$BJ60,"◆",IF(AND(AU$6&gt;=$BF60,AU$6&lt;=$BG60),IF(AND(AU$6&gt;=$BD60,AU$6&lt;=$BE60),"実","外"),IF(AND(AU$6&gt;=$BD60,AU$6&lt;=$BE60),"計",IF(AND(AU$6&gt;=$BH60,AU$6&lt;=$BI60),"遅","")))))</f>
        <v/>
      </c>
      <c r="AV60" s="93" t="str">
        <f>IF($BB60="","",IF(AV$6=$BJ60,"◆",IF(AND(AV$6&gt;=$BF60,AV$6&lt;=$BG60),IF(AND(AV$6&gt;=$BD60,AV$6&lt;=$BE60),"実","外"),IF(AND(AV$6&gt;=$BD60,AV$6&lt;=$BE60),"計",IF(AND(AV$6&gt;=$BH60,AV$6&lt;=$BI60),"遅","")))))</f>
        <v/>
      </c>
      <c r="AW60" s="93" t="str">
        <f>IF($BB60="","",IF(AW$6=$BJ60,"◆",IF(AND(AW$6&gt;=$BF60,AW$6&lt;=$BG60),IF(AND(AW$6&gt;=$BD60,AW$6&lt;=$BE60),"実","外"),IF(AND(AW$6&gt;=$BD60,AW$6&lt;=$BE60),"計",IF(AND(AW$6&gt;=$BH60,AW$6&lt;=$BI60),"遅","")))))</f>
        <v/>
      </c>
      <c r="AX60" s="93" t="str">
        <f>IF($BB60="","",IF(AX$6=$BJ60,"◆",IF(AND(AX$6&gt;=$BF60,AX$6&lt;=$BG60),IF(AND(AX$6&gt;=$BD60,AX$6&lt;=$BE60),"実","外"),IF(AND(AX$6&gt;=$BD60,AX$6&lt;=$BE60),"計",IF(AND(AX$6&gt;=$BH60,AX$6&lt;=$BI60),"遅","")))))</f>
        <v/>
      </c>
      <c r="AY60" s="93" t="str">
        <f>IF($BB60="","",IF(AY$6=$BJ60,"◆",IF(AND(AY$6&gt;=$BF60,AY$6&lt;=$BG60),IF(AND(AY$6&gt;=$BD60,AY$6&lt;=$BE60),"実","外"),IF(AND(AY$6&gt;=$BD60,AY$6&lt;=$BE60),"計",IF(AND(AY$6&gt;=$BH60,AY$6&lt;=$BI60),"遅","")))))</f>
        <v/>
      </c>
      <c r="AZ60" s="93" t="str">
        <f>IF($BB60="","",IF(AZ$6=$BJ60,"◆",IF(AND(AZ$6&gt;=$BF60,AZ$6&lt;=$BG60),IF(AND(AZ$6&gt;=$BD60,AZ$6&lt;=$BE60),"実","外"),IF(AND(AZ$6&gt;=$BD60,AZ$6&lt;=$BE60),"計",IF(AND(AZ$6&gt;=$BH60,AZ$6&lt;=$BI60),"遅","")))))</f>
        <v/>
      </c>
      <c r="BB60" t="str">
        <f>IF(53&gt;COUNTIF(tblSteps[日別対象],1),"",IFERROR(MATCH(53,tblSteps[日別順位],0),""))</f>
        <v/>
      </c>
      <c r="BC60" t="str">
        <f>IF($BB60="","",INDEX(tblSteps[案件ID],$BB60)&amp;"")</f>
        <v/>
      </c>
      <c r="BD60" t="str">
        <f>IF($BB60="","",INDEX(tblSteps[計開],$BB60))</f>
        <v/>
      </c>
      <c r="BE60" t="str">
        <f>IF($BB60="","",INDEX(tblSteps[計終],$BB60))</f>
        <v/>
      </c>
      <c r="BF60" t="str">
        <f>IF($BB60="","",INDEX(tblSteps[実開],$BB60))</f>
        <v/>
      </c>
      <c r="BG60" t="str">
        <f>IF($BB60="","",INDEX(tblSteps[実終],$BB60))</f>
        <v/>
      </c>
      <c r="BH60" t="str">
        <f>IF($BB60="","",INDEX(tblSteps[遅開],$BB60))</f>
        <v/>
      </c>
      <c r="BI60" t="str">
        <f>IF($BB60="","",INDEX(tblSteps[遅終],$BB60))</f>
        <v/>
      </c>
      <c r="BJ60" t="str">
        <f>IF($BB60="","",INDEX(tblSteps[納期値],$BB60))</f>
        <v/>
      </c>
    </row>
    <row r="61" ht="18" customHeight="1">
      <c r="A61" s="89" t="str">
        <f>IF($BB61="","",INDEX(tblSteps[工程ID],$BB61)&amp;"")</f>
        <v/>
      </c>
      <c r="B61" s="88" t="str">
        <f>IF($BB61="","",IF($BC61=$BC60,"",$BC61&amp;" "&amp;INDEX(tblSteps[案件名],$BB61)))</f>
        <v/>
      </c>
      <c r="C61" s="88" t="str">
        <f>IF($BB61="","",INDEX(tblSteps[工程名],$BB61)&amp;"")</f>
        <v/>
      </c>
      <c r="D61" s="89" t="str">
        <f>IF($BB61="","",INDEX(tblSteps[担当],$BB61)&amp;"")</f>
        <v/>
      </c>
      <c r="E61" s="89" t="str">
        <f>IF($BB61="","",INDEX(tblSteps[状態],$BB61)&amp;"")</f>
        <v/>
      </c>
      <c r="F61" s="90" t="str">
        <f>IF($BB61="","",IF(ISNUMBER(INDEX(tblSteps[進捗率],$BB61)),INDEX(tblSteps[進捗率],$BB61),""))</f>
        <v/>
      </c>
      <c r="G61" s="91" t="str">
        <f>IF($BB61="","",IF(ISNUMBER(INDEX(tblSteps[計画開始日],$BB61)),INDEX(tblSteps[計画開始日],$BB61),"未入力"))</f>
        <v/>
      </c>
      <c r="H61" s="91" t="str">
        <f>IF($BB61="","",IF(ISNUMBER(INDEX(tblSteps[計画終了日],$BB61)),INDEX(tblSteps[計画終了日],$BB61),"未入力"))</f>
        <v/>
      </c>
      <c r="I61" s="91" t="str">
        <f>IF($BB61="","",IF(ISNUMBER(INDEX(tblSteps[完了見込日],$BB61)),INDEX(tblSteps[完了見込日],$BB61),""))</f>
        <v/>
      </c>
      <c r="J61" s="92" t="str">
        <f>IF($BB61="","",INDEX(tblSteps[注意短],$BB61)&amp;"")</f>
        <v/>
      </c>
      <c r="K61" s="93" t="str">
        <f>IF($BB61="","",IF(K$6=$BJ61,"◆",IF(AND(K$6&gt;=$BF61,K$6&lt;=$BG61),IF(AND(K$6&gt;=$BD61,K$6&lt;=$BE61),"実","外"),IF(AND(K$6&gt;=$BD61,K$6&lt;=$BE61),"計",IF(AND(K$6&gt;=$BH61,K$6&lt;=$BI61),"遅","")))))</f>
        <v/>
      </c>
      <c r="L61" s="93" t="str">
        <f>IF($BB61="","",IF(L$6=$BJ61,"◆",IF(AND(L$6&gt;=$BF61,L$6&lt;=$BG61),IF(AND(L$6&gt;=$BD61,L$6&lt;=$BE61),"実","外"),IF(AND(L$6&gt;=$BD61,L$6&lt;=$BE61),"計",IF(AND(L$6&gt;=$BH61,L$6&lt;=$BI61),"遅","")))))</f>
        <v/>
      </c>
      <c r="M61" s="93" t="str">
        <f>IF($BB61="","",IF(M$6=$BJ61,"◆",IF(AND(M$6&gt;=$BF61,M$6&lt;=$BG61),IF(AND(M$6&gt;=$BD61,M$6&lt;=$BE61),"実","外"),IF(AND(M$6&gt;=$BD61,M$6&lt;=$BE61),"計",IF(AND(M$6&gt;=$BH61,M$6&lt;=$BI61),"遅","")))))</f>
        <v/>
      </c>
      <c r="N61" s="93" t="str">
        <f>IF($BB61="","",IF(N$6=$BJ61,"◆",IF(AND(N$6&gt;=$BF61,N$6&lt;=$BG61),IF(AND(N$6&gt;=$BD61,N$6&lt;=$BE61),"実","外"),IF(AND(N$6&gt;=$BD61,N$6&lt;=$BE61),"計",IF(AND(N$6&gt;=$BH61,N$6&lt;=$BI61),"遅","")))))</f>
        <v/>
      </c>
      <c r="O61" s="93" t="str">
        <f>IF($BB61="","",IF(O$6=$BJ61,"◆",IF(AND(O$6&gt;=$BF61,O$6&lt;=$BG61),IF(AND(O$6&gt;=$BD61,O$6&lt;=$BE61),"実","外"),IF(AND(O$6&gt;=$BD61,O$6&lt;=$BE61),"計",IF(AND(O$6&gt;=$BH61,O$6&lt;=$BI61),"遅","")))))</f>
        <v/>
      </c>
      <c r="P61" s="93" t="str">
        <f>IF($BB61="","",IF(P$6=$BJ61,"◆",IF(AND(P$6&gt;=$BF61,P$6&lt;=$BG61),IF(AND(P$6&gt;=$BD61,P$6&lt;=$BE61),"実","外"),IF(AND(P$6&gt;=$BD61,P$6&lt;=$BE61),"計",IF(AND(P$6&gt;=$BH61,P$6&lt;=$BI61),"遅","")))))</f>
        <v/>
      </c>
      <c r="Q61" s="93" t="str">
        <f>IF($BB61="","",IF(Q$6=$BJ61,"◆",IF(AND(Q$6&gt;=$BF61,Q$6&lt;=$BG61),IF(AND(Q$6&gt;=$BD61,Q$6&lt;=$BE61),"実","外"),IF(AND(Q$6&gt;=$BD61,Q$6&lt;=$BE61),"計",IF(AND(Q$6&gt;=$BH61,Q$6&lt;=$BI61),"遅","")))))</f>
        <v/>
      </c>
      <c r="R61" s="93" t="str">
        <f>IF($BB61="","",IF(R$6=$BJ61,"◆",IF(AND(R$6&gt;=$BF61,R$6&lt;=$BG61),IF(AND(R$6&gt;=$BD61,R$6&lt;=$BE61),"実","外"),IF(AND(R$6&gt;=$BD61,R$6&lt;=$BE61),"計",IF(AND(R$6&gt;=$BH61,R$6&lt;=$BI61),"遅","")))))</f>
        <v/>
      </c>
      <c r="S61" s="93" t="str">
        <f>IF($BB61="","",IF(S$6=$BJ61,"◆",IF(AND(S$6&gt;=$BF61,S$6&lt;=$BG61),IF(AND(S$6&gt;=$BD61,S$6&lt;=$BE61),"実","外"),IF(AND(S$6&gt;=$BD61,S$6&lt;=$BE61),"計",IF(AND(S$6&gt;=$BH61,S$6&lt;=$BI61),"遅","")))))</f>
        <v/>
      </c>
      <c r="T61" s="93" t="str">
        <f>IF($BB61="","",IF(T$6=$BJ61,"◆",IF(AND(T$6&gt;=$BF61,T$6&lt;=$BG61),IF(AND(T$6&gt;=$BD61,T$6&lt;=$BE61),"実","外"),IF(AND(T$6&gt;=$BD61,T$6&lt;=$BE61),"計",IF(AND(T$6&gt;=$BH61,T$6&lt;=$BI61),"遅","")))))</f>
        <v/>
      </c>
      <c r="U61" s="93" t="str">
        <f>IF($BB61="","",IF(U$6=$BJ61,"◆",IF(AND(U$6&gt;=$BF61,U$6&lt;=$BG61),IF(AND(U$6&gt;=$BD61,U$6&lt;=$BE61),"実","外"),IF(AND(U$6&gt;=$BD61,U$6&lt;=$BE61),"計",IF(AND(U$6&gt;=$BH61,U$6&lt;=$BI61),"遅","")))))</f>
        <v/>
      </c>
      <c r="V61" s="93" t="str">
        <f>IF($BB61="","",IF(V$6=$BJ61,"◆",IF(AND(V$6&gt;=$BF61,V$6&lt;=$BG61),IF(AND(V$6&gt;=$BD61,V$6&lt;=$BE61),"実","外"),IF(AND(V$6&gt;=$BD61,V$6&lt;=$BE61),"計",IF(AND(V$6&gt;=$BH61,V$6&lt;=$BI61),"遅","")))))</f>
        <v/>
      </c>
      <c r="W61" s="93" t="str">
        <f>IF($BB61="","",IF(W$6=$BJ61,"◆",IF(AND(W$6&gt;=$BF61,W$6&lt;=$BG61),IF(AND(W$6&gt;=$BD61,W$6&lt;=$BE61),"実","外"),IF(AND(W$6&gt;=$BD61,W$6&lt;=$BE61),"計",IF(AND(W$6&gt;=$BH61,W$6&lt;=$BI61),"遅","")))))</f>
        <v/>
      </c>
      <c r="X61" s="93" t="str">
        <f>IF($BB61="","",IF(X$6=$BJ61,"◆",IF(AND(X$6&gt;=$BF61,X$6&lt;=$BG61),IF(AND(X$6&gt;=$BD61,X$6&lt;=$BE61),"実","外"),IF(AND(X$6&gt;=$BD61,X$6&lt;=$BE61),"計",IF(AND(X$6&gt;=$BH61,X$6&lt;=$BI61),"遅","")))))</f>
        <v/>
      </c>
      <c r="Y61" s="93" t="str">
        <f>IF($BB61="","",IF(Y$6=$BJ61,"◆",IF(AND(Y$6&gt;=$BF61,Y$6&lt;=$BG61),IF(AND(Y$6&gt;=$BD61,Y$6&lt;=$BE61),"実","外"),IF(AND(Y$6&gt;=$BD61,Y$6&lt;=$BE61),"計",IF(AND(Y$6&gt;=$BH61,Y$6&lt;=$BI61),"遅","")))))</f>
        <v/>
      </c>
      <c r="Z61" s="93" t="str">
        <f>IF($BB61="","",IF(Z$6=$BJ61,"◆",IF(AND(Z$6&gt;=$BF61,Z$6&lt;=$BG61),IF(AND(Z$6&gt;=$BD61,Z$6&lt;=$BE61),"実","外"),IF(AND(Z$6&gt;=$BD61,Z$6&lt;=$BE61),"計",IF(AND(Z$6&gt;=$BH61,Z$6&lt;=$BI61),"遅","")))))</f>
        <v/>
      </c>
      <c r="AA61" s="93" t="str">
        <f>IF($BB61="","",IF(AA$6=$BJ61,"◆",IF(AND(AA$6&gt;=$BF61,AA$6&lt;=$BG61),IF(AND(AA$6&gt;=$BD61,AA$6&lt;=$BE61),"実","外"),IF(AND(AA$6&gt;=$BD61,AA$6&lt;=$BE61),"計",IF(AND(AA$6&gt;=$BH61,AA$6&lt;=$BI61),"遅","")))))</f>
        <v/>
      </c>
      <c r="AB61" s="93" t="str">
        <f>IF($BB61="","",IF(AB$6=$BJ61,"◆",IF(AND(AB$6&gt;=$BF61,AB$6&lt;=$BG61),IF(AND(AB$6&gt;=$BD61,AB$6&lt;=$BE61),"実","外"),IF(AND(AB$6&gt;=$BD61,AB$6&lt;=$BE61),"計",IF(AND(AB$6&gt;=$BH61,AB$6&lt;=$BI61),"遅","")))))</f>
        <v/>
      </c>
      <c r="AC61" s="93" t="str">
        <f>IF($BB61="","",IF(AC$6=$BJ61,"◆",IF(AND(AC$6&gt;=$BF61,AC$6&lt;=$BG61),IF(AND(AC$6&gt;=$BD61,AC$6&lt;=$BE61),"実","外"),IF(AND(AC$6&gt;=$BD61,AC$6&lt;=$BE61),"計",IF(AND(AC$6&gt;=$BH61,AC$6&lt;=$BI61),"遅","")))))</f>
        <v/>
      </c>
      <c r="AD61" s="93" t="str">
        <f>IF($BB61="","",IF(AD$6=$BJ61,"◆",IF(AND(AD$6&gt;=$BF61,AD$6&lt;=$BG61),IF(AND(AD$6&gt;=$BD61,AD$6&lt;=$BE61),"実","外"),IF(AND(AD$6&gt;=$BD61,AD$6&lt;=$BE61),"計",IF(AND(AD$6&gt;=$BH61,AD$6&lt;=$BI61),"遅","")))))</f>
        <v/>
      </c>
      <c r="AE61" s="93" t="str">
        <f>IF($BB61="","",IF(AE$6=$BJ61,"◆",IF(AND(AE$6&gt;=$BF61,AE$6&lt;=$BG61),IF(AND(AE$6&gt;=$BD61,AE$6&lt;=$BE61),"実","外"),IF(AND(AE$6&gt;=$BD61,AE$6&lt;=$BE61),"計",IF(AND(AE$6&gt;=$BH61,AE$6&lt;=$BI61),"遅","")))))</f>
        <v/>
      </c>
      <c r="AF61" s="93" t="str">
        <f>IF($BB61="","",IF(AF$6=$BJ61,"◆",IF(AND(AF$6&gt;=$BF61,AF$6&lt;=$BG61),IF(AND(AF$6&gt;=$BD61,AF$6&lt;=$BE61),"実","外"),IF(AND(AF$6&gt;=$BD61,AF$6&lt;=$BE61),"計",IF(AND(AF$6&gt;=$BH61,AF$6&lt;=$BI61),"遅","")))))</f>
        <v/>
      </c>
      <c r="AG61" s="93" t="str">
        <f>IF($BB61="","",IF(AG$6=$BJ61,"◆",IF(AND(AG$6&gt;=$BF61,AG$6&lt;=$BG61),IF(AND(AG$6&gt;=$BD61,AG$6&lt;=$BE61),"実","外"),IF(AND(AG$6&gt;=$BD61,AG$6&lt;=$BE61),"計",IF(AND(AG$6&gt;=$BH61,AG$6&lt;=$BI61),"遅","")))))</f>
        <v/>
      </c>
      <c r="AH61" s="93" t="str">
        <f>IF($BB61="","",IF(AH$6=$BJ61,"◆",IF(AND(AH$6&gt;=$BF61,AH$6&lt;=$BG61),IF(AND(AH$6&gt;=$BD61,AH$6&lt;=$BE61),"実","外"),IF(AND(AH$6&gt;=$BD61,AH$6&lt;=$BE61),"計",IF(AND(AH$6&gt;=$BH61,AH$6&lt;=$BI61),"遅","")))))</f>
        <v/>
      </c>
      <c r="AI61" s="93" t="str">
        <f>IF($BB61="","",IF(AI$6=$BJ61,"◆",IF(AND(AI$6&gt;=$BF61,AI$6&lt;=$BG61),IF(AND(AI$6&gt;=$BD61,AI$6&lt;=$BE61),"実","外"),IF(AND(AI$6&gt;=$BD61,AI$6&lt;=$BE61),"計",IF(AND(AI$6&gt;=$BH61,AI$6&lt;=$BI61),"遅","")))))</f>
        <v/>
      </c>
      <c r="AJ61" s="93" t="str">
        <f>IF($BB61="","",IF(AJ$6=$BJ61,"◆",IF(AND(AJ$6&gt;=$BF61,AJ$6&lt;=$BG61),IF(AND(AJ$6&gt;=$BD61,AJ$6&lt;=$BE61),"実","外"),IF(AND(AJ$6&gt;=$BD61,AJ$6&lt;=$BE61),"計",IF(AND(AJ$6&gt;=$BH61,AJ$6&lt;=$BI61),"遅","")))))</f>
        <v/>
      </c>
      <c r="AK61" s="93" t="str">
        <f>IF($BB61="","",IF(AK$6=$BJ61,"◆",IF(AND(AK$6&gt;=$BF61,AK$6&lt;=$BG61),IF(AND(AK$6&gt;=$BD61,AK$6&lt;=$BE61),"実","外"),IF(AND(AK$6&gt;=$BD61,AK$6&lt;=$BE61),"計",IF(AND(AK$6&gt;=$BH61,AK$6&lt;=$BI61),"遅","")))))</f>
        <v/>
      </c>
      <c r="AL61" s="93" t="str">
        <f>IF($BB61="","",IF(AL$6=$BJ61,"◆",IF(AND(AL$6&gt;=$BF61,AL$6&lt;=$BG61),IF(AND(AL$6&gt;=$BD61,AL$6&lt;=$BE61),"実","外"),IF(AND(AL$6&gt;=$BD61,AL$6&lt;=$BE61),"計",IF(AND(AL$6&gt;=$BH61,AL$6&lt;=$BI61),"遅","")))))</f>
        <v/>
      </c>
      <c r="AM61" s="93" t="str">
        <f>IF($BB61="","",IF(AM$6=$BJ61,"◆",IF(AND(AM$6&gt;=$BF61,AM$6&lt;=$BG61),IF(AND(AM$6&gt;=$BD61,AM$6&lt;=$BE61),"実","外"),IF(AND(AM$6&gt;=$BD61,AM$6&lt;=$BE61),"計",IF(AND(AM$6&gt;=$BH61,AM$6&lt;=$BI61),"遅","")))))</f>
        <v/>
      </c>
      <c r="AN61" s="93" t="str">
        <f>IF($BB61="","",IF(AN$6=$BJ61,"◆",IF(AND(AN$6&gt;=$BF61,AN$6&lt;=$BG61),IF(AND(AN$6&gt;=$BD61,AN$6&lt;=$BE61),"実","外"),IF(AND(AN$6&gt;=$BD61,AN$6&lt;=$BE61),"計",IF(AND(AN$6&gt;=$BH61,AN$6&lt;=$BI61),"遅","")))))</f>
        <v/>
      </c>
      <c r="AO61" s="93" t="str">
        <f>IF($BB61="","",IF(AO$6=$BJ61,"◆",IF(AND(AO$6&gt;=$BF61,AO$6&lt;=$BG61),IF(AND(AO$6&gt;=$BD61,AO$6&lt;=$BE61),"実","外"),IF(AND(AO$6&gt;=$BD61,AO$6&lt;=$BE61),"計",IF(AND(AO$6&gt;=$BH61,AO$6&lt;=$BI61),"遅","")))))</f>
        <v/>
      </c>
      <c r="AP61" s="93" t="str">
        <f>IF($BB61="","",IF(AP$6=$BJ61,"◆",IF(AND(AP$6&gt;=$BF61,AP$6&lt;=$BG61),IF(AND(AP$6&gt;=$BD61,AP$6&lt;=$BE61),"実","外"),IF(AND(AP$6&gt;=$BD61,AP$6&lt;=$BE61),"計",IF(AND(AP$6&gt;=$BH61,AP$6&lt;=$BI61),"遅","")))))</f>
        <v/>
      </c>
      <c r="AQ61" s="93" t="str">
        <f>IF($BB61="","",IF(AQ$6=$BJ61,"◆",IF(AND(AQ$6&gt;=$BF61,AQ$6&lt;=$BG61),IF(AND(AQ$6&gt;=$BD61,AQ$6&lt;=$BE61),"実","外"),IF(AND(AQ$6&gt;=$BD61,AQ$6&lt;=$BE61),"計",IF(AND(AQ$6&gt;=$BH61,AQ$6&lt;=$BI61),"遅","")))))</f>
        <v/>
      </c>
      <c r="AR61" s="93" t="str">
        <f>IF($BB61="","",IF(AR$6=$BJ61,"◆",IF(AND(AR$6&gt;=$BF61,AR$6&lt;=$BG61),IF(AND(AR$6&gt;=$BD61,AR$6&lt;=$BE61),"実","外"),IF(AND(AR$6&gt;=$BD61,AR$6&lt;=$BE61),"計",IF(AND(AR$6&gt;=$BH61,AR$6&lt;=$BI61),"遅","")))))</f>
        <v/>
      </c>
      <c r="AS61" s="93" t="str">
        <f>IF($BB61="","",IF(AS$6=$BJ61,"◆",IF(AND(AS$6&gt;=$BF61,AS$6&lt;=$BG61),IF(AND(AS$6&gt;=$BD61,AS$6&lt;=$BE61),"実","外"),IF(AND(AS$6&gt;=$BD61,AS$6&lt;=$BE61),"計",IF(AND(AS$6&gt;=$BH61,AS$6&lt;=$BI61),"遅","")))))</f>
        <v/>
      </c>
      <c r="AT61" s="93" t="str">
        <f>IF($BB61="","",IF(AT$6=$BJ61,"◆",IF(AND(AT$6&gt;=$BF61,AT$6&lt;=$BG61),IF(AND(AT$6&gt;=$BD61,AT$6&lt;=$BE61),"実","外"),IF(AND(AT$6&gt;=$BD61,AT$6&lt;=$BE61),"計",IF(AND(AT$6&gt;=$BH61,AT$6&lt;=$BI61),"遅","")))))</f>
        <v/>
      </c>
      <c r="AU61" s="93" t="str">
        <f>IF($BB61="","",IF(AU$6=$BJ61,"◆",IF(AND(AU$6&gt;=$BF61,AU$6&lt;=$BG61),IF(AND(AU$6&gt;=$BD61,AU$6&lt;=$BE61),"実","外"),IF(AND(AU$6&gt;=$BD61,AU$6&lt;=$BE61),"計",IF(AND(AU$6&gt;=$BH61,AU$6&lt;=$BI61),"遅","")))))</f>
        <v/>
      </c>
      <c r="AV61" s="93" t="str">
        <f>IF($BB61="","",IF(AV$6=$BJ61,"◆",IF(AND(AV$6&gt;=$BF61,AV$6&lt;=$BG61),IF(AND(AV$6&gt;=$BD61,AV$6&lt;=$BE61),"実","外"),IF(AND(AV$6&gt;=$BD61,AV$6&lt;=$BE61),"計",IF(AND(AV$6&gt;=$BH61,AV$6&lt;=$BI61),"遅","")))))</f>
        <v/>
      </c>
      <c r="AW61" s="93" t="str">
        <f>IF($BB61="","",IF(AW$6=$BJ61,"◆",IF(AND(AW$6&gt;=$BF61,AW$6&lt;=$BG61),IF(AND(AW$6&gt;=$BD61,AW$6&lt;=$BE61),"実","外"),IF(AND(AW$6&gt;=$BD61,AW$6&lt;=$BE61),"計",IF(AND(AW$6&gt;=$BH61,AW$6&lt;=$BI61),"遅","")))))</f>
        <v/>
      </c>
      <c r="AX61" s="93" t="str">
        <f>IF($BB61="","",IF(AX$6=$BJ61,"◆",IF(AND(AX$6&gt;=$BF61,AX$6&lt;=$BG61),IF(AND(AX$6&gt;=$BD61,AX$6&lt;=$BE61),"実","外"),IF(AND(AX$6&gt;=$BD61,AX$6&lt;=$BE61),"計",IF(AND(AX$6&gt;=$BH61,AX$6&lt;=$BI61),"遅","")))))</f>
        <v/>
      </c>
      <c r="AY61" s="93" t="str">
        <f>IF($BB61="","",IF(AY$6=$BJ61,"◆",IF(AND(AY$6&gt;=$BF61,AY$6&lt;=$BG61),IF(AND(AY$6&gt;=$BD61,AY$6&lt;=$BE61),"実","外"),IF(AND(AY$6&gt;=$BD61,AY$6&lt;=$BE61),"計",IF(AND(AY$6&gt;=$BH61,AY$6&lt;=$BI61),"遅","")))))</f>
        <v/>
      </c>
      <c r="AZ61" s="93" t="str">
        <f>IF($BB61="","",IF(AZ$6=$BJ61,"◆",IF(AND(AZ$6&gt;=$BF61,AZ$6&lt;=$BG61),IF(AND(AZ$6&gt;=$BD61,AZ$6&lt;=$BE61),"実","外"),IF(AND(AZ$6&gt;=$BD61,AZ$6&lt;=$BE61),"計",IF(AND(AZ$6&gt;=$BH61,AZ$6&lt;=$BI61),"遅","")))))</f>
        <v/>
      </c>
      <c r="BB61" t="str">
        <f>IF(54&gt;COUNTIF(tblSteps[日別対象],1),"",IFERROR(MATCH(54,tblSteps[日別順位],0),""))</f>
        <v/>
      </c>
      <c r="BC61" t="str">
        <f>IF($BB61="","",INDEX(tblSteps[案件ID],$BB61)&amp;"")</f>
        <v/>
      </c>
      <c r="BD61" t="str">
        <f>IF($BB61="","",INDEX(tblSteps[計開],$BB61))</f>
        <v/>
      </c>
      <c r="BE61" t="str">
        <f>IF($BB61="","",INDEX(tblSteps[計終],$BB61))</f>
        <v/>
      </c>
      <c r="BF61" t="str">
        <f>IF($BB61="","",INDEX(tblSteps[実開],$BB61))</f>
        <v/>
      </c>
      <c r="BG61" t="str">
        <f>IF($BB61="","",INDEX(tblSteps[実終],$BB61))</f>
        <v/>
      </c>
      <c r="BH61" t="str">
        <f>IF($BB61="","",INDEX(tblSteps[遅開],$BB61))</f>
        <v/>
      </c>
      <c r="BI61" t="str">
        <f>IF($BB61="","",INDEX(tblSteps[遅終],$BB61))</f>
        <v/>
      </c>
      <c r="BJ61" t="str">
        <f>IF($BB61="","",INDEX(tblSteps[納期値],$BB61))</f>
        <v/>
      </c>
    </row>
    <row r="62" ht="18" customHeight="1">
      <c r="A62" s="89" t="str">
        <f>IF($BB62="","",INDEX(tblSteps[工程ID],$BB62)&amp;"")</f>
        <v/>
      </c>
      <c r="B62" s="88" t="str">
        <f>IF($BB62="","",IF($BC62=$BC61,"",$BC62&amp;" "&amp;INDEX(tblSteps[案件名],$BB62)))</f>
        <v/>
      </c>
      <c r="C62" s="88" t="str">
        <f>IF($BB62="","",INDEX(tblSteps[工程名],$BB62)&amp;"")</f>
        <v/>
      </c>
      <c r="D62" s="89" t="str">
        <f>IF($BB62="","",INDEX(tblSteps[担当],$BB62)&amp;"")</f>
        <v/>
      </c>
      <c r="E62" s="89" t="str">
        <f>IF($BB62="","",INDEX(tblSteps[状態],$BB62)&amp;"")</f>
        <v/>
      </c>
      <c r="F62" s="90" t="str">
        <f>IF($BB62="","",IF(ISNUMBER(INDEX(tblSteps[進捗率],$BB62)),INDEX(tblSteps[進捗率],$BB62),""))</f>
        <v/>
      </c>
      <c r="G62" s="91" t="str">
        <f>IF($BB62="","",IF(ISNUMBER(INDEX(tblSteps[計画開始日],$BB62)),INDEX(tblSteps[計画開始日],$BB62),"未入力"))</f>
        <v/>
      </c>
      <c r="H62" s="91" t="str">
        <f>IF($BB62="","",IF(ISNUMBER(INDEX(tblSteps[計画終了日],$BB62)),INDEX(tblSteps[計画終了日],$BB62),"未入力"))</f>
        <v/>
      </c>
      <c r="I62" s="91" t="str">
        <f>IF($BB62="","",IF(ISNUMBER(INDEX(tblSteps[完了見込日],$BB62)),INDEX(tblSteps[完了見込日],$BB62),""))</f>
        <v/>
      </c>
      <c r="J62" s="92" t="str">
        <f>IF($BB62="","",INDEX(tblSteps[注意短],$BB62)&amp;"")</f>
        <v/>
      </c>
      <c r="K62" s="93" t="str">
        <f>IF($BB62="","",IF(K$6=$BJ62,"◆",IF(AND(K$6&gt;=$BF62,K$6&lt;=$BG62),IF(AND(K$6&gt;=$BD62,K$6&lt;=$BE62),"実","外"),IF(AND(K$6&gt;=$BD62,K$6&lt;=$BE62),"計",IF(AND(K$6&gt;=$BH62,K$6&lt;=$BI62),"遅","")))))</f>
        <v/>
      </c>
      <c r="L62" s="93" t="str">
        <f>IF($BB62="","",IF(L$6=$BJ62,"◆",IF(AND(L$6&gt;=$BF62,L$6&lt;=$BG62),IF(AND(L$6&gt;=$BD62,L$6&lt;=$BE62),"実","外"),IF(AND(L$6&gt;=$BD62,L$6&lt;=$BE62),"計",IF(AND(L$6&gt;=$BH62,L$6&lt;=$BI62),"遅","")))))</f>
        <v/>
      </c>
      <c r="M62" s="93" t="str">
        <f>IF($BB62="","",IF(M$6=$BJ62,"◆",IF(AND(M$6&gt;=$BF62,M$6&lt;=$BG62),IF(AND(M$6&gt;=$BD62,M$6&lt;=$BE62),"実","外"),IF(AND(M$6&gt;=$BD62,M$6&lt;=$BE62),"計",IF(AND(M$6&gt;=$BH62,M$6&lt;=$BI62),"遅","")))))</f>
        <v/>
      </c>
      <c r="N62" s="93" t="str">
        <f>IF($BB62="","",IF(N$6=$BJ62,"◆",IF(AND(N$6&gt;=$BF62,N$6&lt;=$BG62),IF(AND(N$6&gt;=$BD62,N$6&lt;=$BE62),"実","外"),IF(AND(N$6&gt;=$BD62,N$6&lt;=$BE62),"計",IF(AND(N$6&gt;=$BH62,N$6&lt;=$BI62),"遅","")))))</f>
        <v/>
      </c>
      <c r="O62" s="93" t="str">
        <f>IF($BB62="","",IF(O$6=$BJ62,"◆",IF(AND(O$6&gt;=$BF62,O$6&lt;=$BG62),IF(AND(O$6&gt;=$BD62,O$6&lt;=$BE62),"実","外"),IF(AND(O$6&gt;=$BD62,O$6&lt;=$BE62),"計",IF(AND(O$6&gt;=$BH62,O$6&lt;=$BI62),"遅","")))))</f>
        <v/>
      </c>
      <c r="P62" s="93" t="str">
        <f>IF($BB62="","",IF(P$6=$BJ62,"◆",IF(AND(P$6&gt;=$BF62,P$6&lt;=$BG62),IF(AND(P$6&gt;=$BD62,P$6&lt;=$BE62),"実","外"),IF(AND(P$6&gt;=$BD62,P$6&lt;=$BE62),"計",IF(AND(P$6&gt;=$BH62,P$6&lt;=$BI62),"遅","")))))</f>
        <v/>
      </c>
      <c r="Q62" s="93" t="str">
        <f>IF($BB62="","",IF(Q$6=$BJ62,"◆",IF(AND(Q$6&gt;=$BF62,Q$6&lt;=$BG62),IF(AND(Q$6&gt;=$BD62,Q$6&lt;=$BE62),"実","外"),IF(AND(Q$6&gt;=$BD62,Q$6&lt;=$BE62),"計",IF(AND(Q$6&gt;=$BH62,Q$6&lt;=$BI62),"遅","")))))</f>
        <v/>
      </c>
      <c r="R62" s="93" t="str">
        <f>IF($BB62="","",IF(R$6=$BJ62,"◆",IF(AND(R$6&gt;=$BF62,R$6&lt;=$BG62),IF(AND(R$6&gt;=$BD62,R$6&lt;=$BE62),"実","外"),IF(AND(R$6&gt;=$BD62,R$6&lt;=$BE62),"計",IF(AND(R$6&gt;=$BH62,R$6&lt;=$BI62),"遅","")))))</f>
        <v/>
      </c>
      <c r="S62" s="93" t="str">
        <f>IF($BB62="","",IF(S$6=$BJ62,"◆",IF(AND(S$6&gt;=$BF62,S$6&lt;=$BG62),IF(AND(S$6&gt;=$BD62,S$6&lt;=$BE62),"実","外"),IF(AND(S$6&gt;=$BD62,S$6&lt;=$BE62),"計",IF(AND(S$6&gt;=$BH62,S$6&lt;=$BI62),"遅","")))))</f>
        <v/>
      </c>
      <c r="T62" s="93" t="str">
        <f>IF($BB62="","",IF(T$6=$BJ62,"◆",IF(AND(T$6&gt;=$BF62,T$6&lt;=$BG62),IF(AND(T$6&gt;=$BD62,T$6&lt;=$BE62),"実","外"),IF(AND(T$6&gt;=$BD62,T$6&lt;=$BE62),"計",IF(AND(T$6&gt;=$BH62,T$6&lt;=$BI62),"遅","")))))</f>
        <v/>
      </c>
      <c r="U62" s="93" t="str">
        <f>IF($BB62="","",IF(U$6=$BJ62,"◆",IF(AND(U$6&gt;=$BF62,U$6&lt;=$BG62),IF(AND(U$6&gt;=$BD62,U$6&lt;=$BE62),"実","外"),IF(AND(U$6&gt;=$BD62,U$6&lt;=$BE62),"計",IF(AND(U$6&gt;=$BH62,U$6&lt;=$BI62),"遅","")))))</f>
        <v/>
      </c>
      <c r="V62" s="93" t="str">
        <f>IF($BB62="","",IF(V$6=$BJ62,"◆",IF(AND(V$6&gt;=$BF62,V$6&lt;=$BG62),IF(AND(V$6&gt;=$BD62,V$6&lt;=$BE62),"実","外"),IF(AND(V$6&gt;=$BD62,V$6&lt;=$BE62),"計",IF(AND(V$6&gt;=$BH62,V$6&lt;=$BI62),"遅","")))))</f>
        <v/>
      </c>
      <c r="W62" s="93" t="str">
        <f>IF($BB62="","",IF(W$6=$BJ62,"◆",IF(AND(W$6&gt;=$BF62,W$6&lt;=$BG62),IF(AND(W$6&gt;=$BD62,W$6&lt;=$BE62),"実","外"),IF(AND(W$6&gt;=$BD62,W$6&lt;=$BE62),"計",IF(AND(W$6&gt;=$BH62,W$6&lt;=$BI62),"遅","")))))</f>
        <v/>
      </c>
      <c r="X62" s="93" t="str">
        <f>IF($BB62="","",IF(X$6=$BJ62,"◆",IF(AND(X$6&gt;=$BF62,X$6&lt;=$BG62),IF(AND(X$6&gt;=$BD62,X$6&lt;=$BE62),"実","外"),IF(AND(X$6&gt;=$BD62,X$6&lt;=$BE62),"計",IF(AND(X$6&gt;=$BH62,X$6&lt;=$BI62),"遅","")))))</f>
        <v/>
      </c>
      <c r="Y62" s="93" t="str">
        <f>IF($BB62="","",IF(Y$6=$BJ62,"◆",IF(AND(Y$6&gt;=$BF62,Y$6&lt;=$BG62),IF(AND(Y$6&gt;=$BD62,Y$6&lt;=$BE62),"実","外"),IF(AND(Y$6&gt;=$BD62,Y$6&lt;=$BE62),"計",IF(AND(Y$6&gt;=$BH62,Y$6&lt;=$BI62),"遅","")))))</f>
        <v/>
      </c>
      <c r="Z62" s="93" t="str">
        <f>IF($BB62="","",IF(Z$6=$BJ62,"◆",IF(AND(Z$6&gt;=$BF62,Z$6&lt;=$BG62),IF(AND(Z$6&gt;=$BD62,Z$6&lt;=$BE62),"実","外"),IF(AND(Z$6&gt;=$BD62,Z$6&lt;=$BE62),"計",IF(AND(Z$6&gt;=$BH62,Z$6&lt;=$BI62),"遅","")))))</f>
        <v/>
      </c>
      <c r="AA62" s="93" t="str">
        <f>IF($BB62="","",IF(AA$6=$BJ62,"◆",IF(AND(AA$6&gt;=$BF62,AA$6&lt;=$BG62),IF(AND(AA$6&gt;=$BD62,AA$6&lt;=$BE62),"実","外"),IF(AND(AA$6&gt;=$BD62,AA$6&lt;=$BE62),"計",IF(AND(AA$6&gt;=$BH62,AA$6&lt;=$BI62),"遅","")))))</f>
        <v/>
      </c>
      <c r="AB62" s="93" t="str">
        <f>IF($BB62="","",IF(AB$6=$BJ62,"◆",IF(AND(AB$6&gt;=$BF62,AB$6&lt;=$BG62),IF(AND(AB$6&gt;=$BD62,AB$6&lt;=$BE62),"実","外"),IF(AND(AB$6&gt;=$BD62,AB$6&lt;=$BE62),"計",IF(AND(AB$6&gt;=$BH62,AB$6&lt;=$BI62),"遅","")))))</f>
        <v/>
      </c>
      <c r="AC62" s="93" t="str">
        <f>IF($BB62="","",IF(AC$6=$BJ62,"◆",IF(AND(AC$6&gt;=$BF62,AC$6&lt;=$BG62),IF(AND(AC$6&gt;=$BD62,AC$6&lt;=$BE62),"実","外"),IF(AND(AC$6&gt;=$BD62,AC$6&lt;=$BE62),"計",IF(AND(AC$6&gt;=$BH62,AC$6&lt;=$BI62),"遅","")))))</f>
        <v/>
      </c>
      <c r="AD62" s="93" t="str">
        <f>IF($BB62="","",IF(AD$6=$BJ62,"◆",IF(AND(AD$6&gt;=$BF62,AD$6&lt;=$BG62),IF(AND(AD$6&gt;=$BD62,AD$6&lt;=$BE62),"実","外"),IF(AND(AD$6&gt;=$BD62,AD$6&lt;=$BE62),"計",IF(AND(AD$6&gt;=$BH62,AD$6&lt;=$BI62),"遅","")))))</f>
        <v/>
      </c>
      <c r="AE62" s="93" t="str">
        <f>IF($BB62="","",IF(AE$6=$BJ62,"◆",IF(AND(AE$6&gt;=$BF62,AE$6&lt;=$BG62),IF(AND(AE$6&gt;=$BD62,AE$6&lt;=$BE62),"実","外"),IF(AND(AE$6&gt;=$BD62,AE$6&lt;=$BE62),"計",IF(AND(AE$6&gt;=$BH62,AE$6&lt;=$BI62),"遅","")))))</f>
        <v/>
      </c>
      <c r="AF62" s="93" t="str">
        <f>IF($BB62="","",IF(AF$6=$BJ62,"◆",IF(AND(AF$6&gt;=$BF62,AF$6&lt;=$BG62),IF(AND(AF$6&gt;=$BD62,AF$6&lt;=$BE62),"実","外"),IF(AND(AF$6&gt;=$BD62,AF$6&lt;=$BE62),"計",IF(AND(AF$6&gt;=$BH62,AF$6&lt;=$BI62),"遅","")))))</f>
        <v/>
      </c>
      <c r="AG62" s="93" t="str">
        <f>IF($BB62="","",IF(AG$6=$BJ62,"◆",IF(AND(AG$6&gt;=$BF62,AG$6&lt;=$BG62),IF(AND(AG$6&gt;=$BD62,AG$6&lt;=$BE62),"実","外"),IF(AND(AG$6&gt;=$BD62,AG$6&lt;=$BE62),"計",IF(AND(AG$6&gt;=$BH62,AG$6&lt;=$BI62),"遅","")))))</f>
        <v/>
      </c>
      <c r="AH62" s="93" t="str">
        <f>IF($BB62="","",IF(AH$6=$BJ62,"◆",IF(AND(AH$6&gt;=$BF62,AH$6&lt;=$BG62),IF(AND(AH$6&gt;=$BD62,AH$6&lt;=$BE62),"実","外"),IF(AND(AH$6&gt;=$BD62,AH$6&lt;=$BE62),"計",IF(AND(AH$6&gt;=$BH62,AH$6&lt;=$BI62),"遅","")))))</f>
        <v/>
      </c>
      <c r="AI62" s="93" t="str">
        <f>IF($BB62="","",IF(AI$6=$BJ62,"◆",IF(AND(AI$6&gt;=$BF62,AI$6&lt;=$BG62),IF(AND(AI$6&gt;=$BD62,AI$6&lt;=$BE62),"実","外"),IF(AND(AI$6&gt;=$BD62,AI$6&lt;=$BE62),"計",IF(AND(AI$6&gt;=$BH62,AI$6&lt;=$BI62),"遅","")))))</f>
        <v/>
      </c>
      <c r="AJ62" s="93" t="str">
        <f>IF($BB62="","",IF(AJ$6=$BJ62,"◆",IF(AND(AJ$6&gt;=$BF62,AJ$6&lt;=$BG62),IF(AND(AJ$6&gt;=$BD62,AJ$6&lt;=$BE62),"実","外"),IF(AND(AJ$6&gt;=$BD62,AJ$6&lt;=$BE62),"計",IF(AND(AJ$6&gt;=$BH62,AJ$6&lt;=$BI62),"遅","")))))</f>
        <v/>
      </c>
      <c r="AK62" s="93" t="str">
        <f>IF($BB62="","",IF(AK$6=$BJ62,"◆",IF(AND(AK$6&gt;=$BF62,AK$6&lt;=$BG62),IF(AND(AK$6&gt;=$BD62,AK$6&lt;=$BE62),"実","外"),IF(AND(AK$6&gt;=$BD62,AK$6&lt;=$BE62),"計",IF(AND(AK$6&gt;=$BH62,AK$6&lt;=$BI62),"遅","")))))</f>
        <v/>
      </c>
      <c r="AL62" s="93" t="str">
        <f>IF($BB62="","",IF(AL$6=$BJ62,"◆",IF(AND(AL$6&gt;=$BF62,AL$6&lt;=$BG62),IF(AND(AL$6&gt;=$BD62,AL$6&lt;=$BE62),"実","外"),IF(AND(AL$6&gt;=$BD62,AL$6&lt;=$BE62),"計",IF(AND(AL$6&gt;=$BH62,AL$6&lt;=$BI62),"遅","")))))</f>
        <v/>
      </c>
      <c r="AM62" s="93" t="str">
        <f>IF($BB62="","",IF(AM$6=$BJ62,"◆",IF(AND(AM$6&gt;=$BF62,AM$6&lt;=$BG62),IF(AND(AM$6&gt;=$BD62,AM$6&lt;=$BE62),"実","外"),IF(AND(AM$6&gt;=$BD62,AM$6&lt;=$BE62),"計",IF(AND(AM$6&gt;=$BH62,AM$6&lt;=$BI62),"遅","")))))</f>
        <v/>
      </c>
      <c r="AN62" s="93" t="str">
        <f>IF($BB62="","",IF(AN$6=$BJ62,"◆",IF(AND(AN$6&gt;=$BF62,AN$6&lt;=$BG62),IF(AND(AN$6&gt;=$BD62,AN$6&lt;=$BE62),"実","外"),IF(AND(AN$6&gt;=$BD62,AN$6&lt;=$BE62),"計",IF(AND(AN$6&gt;=$BH62,AN$6&lt;=$BI62),"遅","")))))</f>
        <v/>
      </c>
      <c r="AO62" s="93" t="str">
        <f>IF($BB62="","",IF(AO$6=$BJ62,"◆",IF(AND(AO$6&gt;=$BF62,AO$6&lt;=$BG62),IF(AND(AO$6&gt;=$BD62,AO$6&lt;=$BE62),"実","外"),IF(AND(AO$6&gt;=$BD62,AO$6&lt;=$BE62),"計",IF(AND(AO$6&gt;=$BH62,AO$6&lt;=$BI62),"遅","")))))</f>
        <v/>
      </c>
      <c r="AP62" s="93" t="str">
        <f>IF($BB62="","",IF(AP$6=$BJ62,"◆",IF(AND(AP$6&gt;=$BF62,AP$6&lt;=$BG62),IF(AND(AP$6&gt;=$BD62,AP$6&lt;=$BE62),"実","外"),IF(AND(AP$6&gt;=$BD62,AP$6&lt;=$BE62),"計",IF(AND(AP$6&gt;=$BH62,AP$6&lt;=$BI62),"遅","")))))</f>
        <v/>
      </c>
      <c r="AQ62" s="93" t="str">
        <f>IF($BB62="","",IF(AQ$6=$BJ62,"◆",IF(AND(AQ$6&gt;=$BF62,AQ$6&lt;=$BG62),IF(AND(AQ$6&gt;=$BD62,AQ$6&lt;=$BE62),"実","外"),IF(AND(AQ$6&gt;=$BD62,AQ$6&lt;=$BE62),"計",IF(AND(AQ$6&gt;=$BH62,AQ$6&lt;=$BI62),"遅","")))))</f>
        <v/>
      </c>
      <c r="AR62" s="93" t="str">
        <f>IF($BB62="","",IF(AR$6=$BJ62,"◆",IF(AND(AR$6&gt;=$BF62,AR$6&lt;=$BG62),IF(AND(AR$6&gt;=$BD62,AR$6&lt;=$BE62),"実","外"),IF(AND(AR$6&gt;=$BD62,AR$6&lt;=$BE62),"計",IF(AND(AR$6&gt;=$BH62,AR$6&lt;=$BI62),"遅","")))))</f>
        <v/>
      </c>
      <c r="AS62" s="93" t="str">
        <f>IF($BB62="","",IF(AS$6=$BJ62,"◆",IF(AND(AS$6&gt;=$BF62,AS$6&lt;=$BG62),IF(AND(AS$6&gt;=$BD62,AS$6&lt;=$BE62),"実","外"),IF(AND(AS$6&gt;=$BD62,AS$6&lt;=$BE62),"計",IF(AND(AS$6&gt;=$BH62,AS$6&lt;=$BI62),"遅","")))))</f>
        <v/>
      </c>
      <c r="AT62" s="93" t="str">
        <f>IF($BB62="","",IF(AT$6=$BJ62,"◆",IF(AND(AT$6&gt;=$BF62,AT$6&lt;=$BG62),IF(AND(AT$6&gt;=$BD62,AT$6&lt;=$BE62),"実","外"),IF(AND(AT$6&gt;=$BD62,AT$6&lt;=$BE62),"計",IF(AND(AT$6&gt;=$BH62,AT$6&lt;=$BI62),"遅","")))))</f>
        <v/>
      </c>
      <c r="AU62" s="93" t="str">
        <f>IF($BB62="","",IF(AU$6=$BJ62,"◆",IF(AND(AU$6&gt;=$BF62,AU$6&lt;=$BG62),IF(AND(AU$6&gt;=$BD62,AU$6&lt;=$BE62),"実","外"),IF(AND(AU$6&gt;=$BD62,AU$6&lt;=$BE62),"計",IF(AND(AU$6&gt;=$BH62,AU$6&lt;=$BI62),"遅","")))))</f>
        <v/>
      </c>
      <c r="AV62" s="93" t="str">
        <f>IF($BB62="","",IF(AV$6=$BJ62,"◆",IF(AND(AV$6&gt;=$BF62,AV$6&lt;=$BG62),IF(AND(AV$6&gt;=$BD62,AV$6&lt;=$BE62),"実","外"),IF(AND(AV$6&gt;=$BD62,AV$6&lt;=$BE62),"計",IF(AND(AV$6&gt;=$BH62,AV$6&lt;=$BI62),"遅","")))))</f>
        <v/>
      </c>
      <c r="AW62" s="93" t="str">
        <f>IF($BB62="","",IF(AW$6=$BJ62,"◆",IF(AND(AW$6&gt;=$BF62,AW$6&lt;=$BG62),IF(AND(AW$6&gt;=$BD62,AW$6&lt;=$BE62),"実","外"),IF(AND(AW$6&gt;=$BD62,AW$6&lt;=$BE62),"計",IF(AND(AW$6&gt;=$BH62,AW$6&lt;=$BI62),"遅","")))))</f>
        <v/>
      </c>
      <c r="AX62" s="93" t="str">
        <f>IF($BB62="","",IF(AX$6=$BJ62,"◆",IF(AND(AX$6&gt;=$BF62,AX$6&lt;=$BG62),IF(AND(AX$6&gt;=$BD62,AX$6&lt;=$BE62),"実","外"),IF(AND(AX$6&gt;=$BD62,AX$6&lt;=$BE62),"計",IF(AND(AX$6&gt;=$BH62,AX$6&lt;=$BI62),"遅","")))))</f>
        <v/>
      </c>
      <c r="AY62" s="93" t="str">
        <f>IF($BB62="","",IF(AY$6=$BJ62,"◆",IF(AND(AY$6&gt;=$BF62,AY$6&lt;=$BG62),IF(AND(AY$6&gt;=$BD62,AY$6&lt;=$BE62),"実","外"),IF(AND(AY$6&gt;=$BD62,AY$6&lt;=$BE62),"計",IF(AND(AY$6&gt;=$BH62,AY$6&lt;=$BI62),"遅","")))))</f>
        <v/>
      </c>
      <c r="AZ62" s="93" t="str">
        <f>IF($BB62="","",IF(AZ$6=$BJ62,"◆",IF(AND(AZ$6&gt;=$BF62,AZ$6&lt;=$BG62),IF(AND(AZ$6&gt;=$BD62,AZ$6&lt;=$BE62),"実","外"),IF(AND(AZ$6&gt;=$BD62,AZ$6&lt;=$BE62),"計",IF(AND(AZ$6&gt;=$BH62,AZ$6&lt;=$BI62),"遅","")))))</f>
        <v/>
      </c>
      <c r="BB62" t="str">
        <f>IF(55&gt;COUNTIF(tblSteps[日別対象],1),"",IFERROR(MATCH(55,tblSteps[日別順位],0),""))</f>
        <v/>
      </c>
      <c r="BC62" t="str">
        <f>IF($BB62="","",INDEX(tblSteps[案件ID],$BB62)&amp;"")</f>
        <v/>
      </c>
      <c r="BD62" t="str">
        <f>IF($BB62="","",INDEX(tblSteps[計開],$BB62))</f>
        <v/>
      </c>
      <c r="BE62" t="str">
        <f>IF($BB62="","",INDEX(tblSteps[計終],$BB62))</f>
        <v/>
      </c>
      <c r="BF62" t="str">
        <f>IF($BB62="","",INDEX(tblSteps[実開],$BB62))</f>
        <v/>
      </c>
      <c r="BG62" t="str">
        <f>IF($BB62="","",INDEX(tblSteps[実終],$BB62))</f>
        <v/>
      </c>
      <c r="BH62" t="str">
        <f>IF($BB62="","",INDEX(tblSteps[遅開],$BB62))</f>
        <v/>
      </c>
      <c r="BI62" t="str">
        <f>IF($BB62="","",INDEX(tblSteps[遅終],$BB62))</f>
        <v/>
      </c>
      <c r="BJ62" t="str">
        <f>IF($BB62="","",INDEX(tblSteps[納期値],$BB62))</f>
        <v/>
      </c>
    </row>
    <row r="63" ht="18" customHeight="1">
      <c r="A63" s="89" t="str">
        <f>IF($BB63="","",INDEX(tblSteps[工程ID],$BB63)&amp;"")</f>
        <v/>
      </c>
      <c r="B63" s="88" t="str">
        <f>IF($BB63="","",IF($BC63=$BC62,"",$BC63&amp;" "&amp;INDEX(tblSteps[案件名],$BB63)))</f>
        <v/>
      </c>
      <c r="C63" s="88" t="str">
        <f>IF($BB63="","",INDEX(tblSteps[工程名],$BB63)&amp;"")</f>
        <v/>
      </c>
      <c r="D63" s="89" t="str">
        <f>IF($BB63="","",INDEX(tblSteps[担当],$BB63)&amp;"")</f>
        <v/>
      </c>
      <c r="E63" s="89" t="str">
        <f>IF($BB63="","",INDEX(tblSteps[状態],$BB63)&amp;"")</f>
        <v/>
      </c>
      <c r="F63" s="90" t="str">
        <f>IF($BB63="","",IF(ISNUMBER(INDEX(tblSteps[進捗率],$BB63)),INDEX(tblSteps[進捗率],$BB63),""))</f>
        <v/>
      </c>
      <c r="G63" s="91" t="str">
        <f>IF($BB63="","",IF(ISNUMBER(INDEX(tblSteps[計画開始日],$BB63)),INDEX(tblSteps[計画開始日],$BB63),"未入力"))</f>
        <v/>
      </c>
      <c r="H63" s="91" t="str">
        <f>IF($BB63="","",IF(ISNUMBER(INDEX(tblSteps[計画終了日],$BB63)),INDEX(tblSteps[計画終了日],$BB63),"未入力"))</f>
        <v/>
      </c>
      <c r="I63" s="91" t="str">
        <f>IF($BB63="","",IF(ISNUMBER(INDEX(tblSteps[完了見込日],$BB63)),INDEX(tblSteps[完了見込日],$BB63),""))</f>
        <v/>
      </c>
      <c r="J63" s="92" t="str">
        <f>IF($BB63="","",INDEX(tblSteps[注意短],$BB63)&amp;"")</f>
        <v/>
      </c>
      <c r="K63" s="93" t="str">
        <f>IF($BB63="","",IF(K$6=$BJ63,"◆",IF(AND(K$6&gt;=$BF63,K$6&lt;=$BG63),IF(AND(K$6&gt;=$BD63,K$6&lt;=$BE63),"実","外"),IF(AND(K$6&gt;=$BD63,K$6&lt;=$BE63),"計",IF(AND(K$6&gt;=$BH63,K$6&lt;=$BI63),"遅","")))))</f>
        <v/>
      </c>
      <c r="L63" s="93" t="str">
        <f>IF($BB63="","",IF(L$6=$BJ63,"◆",IF(AND(L$6&gt;=$BF63,L$6&lt;=$BG63),IF(AND(L$6&gt;=$BD63,L$6&lt;=$BE63),"実","外"),IF(AND(L$6&gt;=$BD63,L$6&lt;=$BE63),"計",IF(AND(L$6&gt;=$BH63,L$6&lt;=$BI63),"遅","")))))</f>
        <v/>
      </c>
      <c r="M63" s="93" t="str">
        <f>IF($BB63="","",IF(M$6=$BJ63,"◆",IF(AND(M$6&gt;=$BF63,M$6&lt;=$BG63),IF(AND(M$6&gt;=$BD63,M$6&lt;=$BE63),"実","外"),IF(AND(M$6&gt;=$BD63,M$6&lt;=$BE63),"計",IF(AND(M$6&gt;=$BH63,M$6&lt;=$BI63),"遅","")))))</f>
        <v/>
      </c>
      <c r="N63" s="93" t="str">
        <f>IF($BB63="","",IF(N$6=$BJ63,"◆",IF(AND(N$6&gt;=$BF63,N$6&lt;=$BG63),IF(AND(N$6&gt;=$BD63,N$6&lt;=$BE63),"実","外"),IF(AND(N$6&gt;=$BD63,N$6&lt;=$BE63),"計",IF(AND(N$6&gt;=$BH63,N$6&lt;=$BI63),"遅","")))))</f>
        <v/>
      </c>
      <c r="O63" s="93" t="str">
        <f>IF($BB63="","",IF(O$6=$BJ63,"◆",IF(AND(O$6&gt;=$BF63,O$6&lt;=$BG63),IF(AND(O$6&gt;=$BD63,O$6&lt;=$BE63),"実","外"),IF(AND(O$6&gt;=$BD63,O$6&lt;=$BE63),"計",IF(AND(O$6&gt;=$BH63,O$6&lt;=$BI63),"遅","")))))</f>
        <v/>
      </c>
      <c r="P63" s="93" t="str">
        <f>IF($BB63="","",IF(P$6=$BJ63,"◆",IF(AND(P$6&gt;=$BF63,P$6&lt;=$BG63),IF(AND(P$6&gt;=$BD63,P$6&lt;=$BE63),"実","外"),IF(AND(P$6&gt;=$BD63,P$6&lt;=$BE63),"計",IF(AND(P$6&gt;=$BH63,P$6&lt;=$BI63),"遅","")))))</f>
        <v/>
      </c>
      <c r="Q63" s="93" t="str">
        <f>IF($BB63="","",IF(Q$6=$BJ63,"◆",IF(AND(Q$6&gt;=$BF63,Q$6&lt;=$BG63),IF(AND(Q$6&gt;=$BD63,Q$6&lt;=$BE63),"実","外"),IF(AND(Q$6&gt;=$BD63,Q$6&lt;=$BE63),"計",IF(AND(Q$6&gt;=$BH63,Q$6&lt;=$BI63),"遅","")))))</f>
        <v/>
      </c>
      <c r="R63" s="93" t="str">
        <f>IF($BB63="","",IF(R$6=$BJ63,"◆",IF(AND(R$6&gt;=$BF63,R$6&lt;=$BG63),IF(AND(R$6&gt;=$BD63,R$6&lt;=$BE63),"実","外"),IF(AND(R$6&gt;=$BD63,R$6&lt;=$BE63),"計",IF(AND(R$6&gt;=$BH63,R$6&lt;=$BI63),"遅","")))))</f>
        <v/>
      </c>
      <c r="S63" s="93" t="str">
        <f>IF($BB63="","",IF(S$6=$BJ63,"◆",IF(AND(S$6&gt;=$BF63,S$6&lt;=$BG63),IF(AND(S$6&gt;=$BD63,S$6&lt;=$BE63),"実","外"),IF(AND(S$6&gt;=$BD63,S$6&lt;=$BE63),"計",IF(AND(S$6&gt;=$BH63,S$6&lt;=$BI63),"遅","")))))</f>
        <v/>
      </c>
      <c r="T63" s="93" t="str">
        <f>IF($BB63="","",IF(T$6=$BJ63,"◆",IF(AND(T$6&gt;=$BF63,T$6&lt;=$BG63),IF(AND(T$6&gt;=$BD63,T$6&lt;=$BE63),"実","外"),IF(AND(T$6&gt;=$BD63,T$6&lt;=$BE63),"計",IF(AND(T$6&gt;=$BH63,T$6&lt;=$BI63),"遅","")))))</f>
        <v/>
      </c>
      <c r="U63" s="93" t="str">
        <f>IF($BB63="","",IF(U$6=$BJ63,"◆",IF(AND(U$6&gt;=$BF63,U$6&lt;=$BG63),IF(AND(U$6&gt;=$BD63,U$6&lt;=$BE63),"実","外"),IF(AND(U$6&gt;=$BD63,U$6&lt;=$BE63),"計",IF(AND(U$6&gt;=$BH63,U$6&lt;=$BI63),"遅","")))))</f>
        <v/>
      </c>
      <c r="V63" s="93" t="str">
        <f>IF($BB63="","",IF(V$6=$BJ63,"◆",IF(AND(V$6&gt;=$BF63,V$6&lt;=$BG63),IF(AND(V$6&gt;=$BD63,V$6&lt;=$BE63),"実","外"),IF(AND(V$6&gt;=$BD63,V$6&lt;=$BE63),"計",IF(AND(V$6&gt;=$BH63,V$6&lt;=$BI63),"遅","")))))</f>
        <v/>
      </c>
      <c r="W63" s="93" t="str">
        <f>IF($BB63="","",IF(W$6=$BJ63,"◆",IF(AND(W$6&gt;=$BF63,W$6&lt;=$BG63),IF(AND(W$6&gt;=$BD63,W$6&lt;=$BE63),"実","外"),IF(AND(W$6&gt;=$BD63,W$6&lt;=$BE63),"計",IF(AND(W$6&gt;=$BH63,W$6&lt;=$BI63),"遅","")))))</f>
        <v/>
      </c>
      <c r="X63" s="93" t="str">
        <f>IF($BB63="","",IF(X$6=$BJ63,"◆",IF(AND(X$6&gt;=$BF63,X$6&lt;=$BG63),IF(AND(X$6&gt;=$BD63,X$6&lt;=$BE63),"実","外"),IF(AND(X$6&gt;=$BD63,X$6&lt;=$BE63),"計",IF(AND(X$6&gt;=$BH63,X$6&lt;=$BI63),"遅","")))))</f>
        <v/>
      </c>
      <c r="Y63" s="93" t="str">
        <f>IF($BB63="","",IF(Y$6=$BJ63,"◆",IF(AND(Y$6&gt;=$BF63,Y$6&lt;=$BG63),IF(AND(Y$6&gt;=$BD63,Y$6&lt;=$BE63),"実","外"),IF(AND(Y$6&gt;=$BD63,Y$6&lt;=$BE63),"計",IF(AND(Y$6&gt;=$BH63,Y$6&lt;=$BI63),"遅","")))))</f>
        <v/>
      </c>
      <c r="Z63" s="93" t="str">
        <f>IF($BB63="","",IF(Z$6=$BJ63,"◆",IF(AND(Z$6&gt;=$BF63,Z$6&lt;=$BG63),IF(AND(Z$6&gt;=$BD63,Z$6&lt;=$BE63),"実","外"),IF(AND(Z$6&gt;=$BD63,Z$6&lt;=$BE63),"計",IF(AND(Z$6&gt;=$BH63,Z$6&lt;=$BI63),"遅","")))))</f>
        <v/>
      </c>
      <c r="AA63" s="93" t="str">
        <f>IF($BB63="","",IF(AA$6=$BJ63,"◆",IF(AND(AA$6&gt;=$BF63,AA$6&lt;=$BG63),IF(AND(AA$6&gt;=$BD63,AA$6&lt;=$BE63),"実","外"),IF(AND(AA$6&gt;=$BD63,AA$6&lt;=$BE63),"計",IF(AND(AA$6&gt;=$BH63,AA$6&lt;=$BI63),"遅","")))))</f>
        <v/>
      </c>
      <c r="AB63" s="93" t="str">
        <f>IF($BB63="","",IF(AB$6=$BJ63,"◆",IF(AND(AB$6&gt;=$BF63,AB$6&lt;=$BG63),IF(AND(AB$6&gt;=$BD63,AB$6&lt;=$BE63),"実","外"),IF(AND(AB$6&gt;=$BD63,AB$6&lt;=$BE63),"計",IF(AND(AB$6&gt;=$BH63,AB$6&lt;=$BI63),"遅","")))))</f>
        <v/>
      </c>
      <c r="AC63" s="93" t="str">
        <f>IF($BB63="","",IF(AC$6=$BJ63,"◆",IF(AND(AC$6&gt;=$BF63,AC$6&lt;=$BG63),IF(AND(AC$6&gt;=$BD63,AC$6&lt;=$BE63),"実","外"),IF(AND(AC$6&gt;=$BD63,AC$6&lt;=$BE63),"計",IF(AND(AC$6&gt;=$BH63,AC$6&lt;=$BI63),"遅","")))))</f>
        <v/>
      </c>
      <c r="AD63" s="93" t="str">
        <f>IF($BB63="","",IF(AD$6=$BJ63,"◆",IF(AND(AD$6&gt;=$BF63,AD$6&lt;=$BG63),IF(AND(AD$6&gt;=$BD63,AD$6&lt;=$BE63),"実","外"),IF(AND(AD$6&gt;=$BD63,AD$6&lt;=$BE63),"計",IF(AND(AD$6&gt;=$BH63,AD$6&lt;=$BI63),"遅","")))))</f>
        <v/>
      </c>
      <c r="AE63" s="93" t="str">
        <f>IF($BB63="","",IF(AE$6=$BJ63,"◆",IF(AND(AE$6&gt;=$BF63,AE$6&lt;=$BG63),IF(AND(AE$6&gt;=$BD63,AE$6&lt;=$BE63),"実","外"),IF(AND(AE$6&gt;=$BD63,AE$6&lt;=$BE63),"計",IF(AND(AE$6&gt;=$BH63,AE$6&lt;=$BI63),"遅","")))))</f>
        <v/>
      </c>
      <c r="AF63" s="93" t="str">
        <f>IF($BB63="","",IF(AF$6=$BJ63,"◆",IF(AND(AF$6&gt;=$BF63,AF$6&lt;=$BG63),IF(AND(AF$6&gt;=$BD63,AF$6&lt;=$BE63),"実","外"),IF(AND(AF$6&gt;=$BD63,AF$6&lt;=$BE63),"計",IF(AND(AF$6&gt;=$BH63,AF$6&lt;=$BI63),"遅","")))))</f>
        <v/>
      </c>
      <c r="AG63" s="93" t="str">
        <f>IF($BB63="","",IF(AG$6=$BJ63,"◆",IF(AND(AG$6&gt;=$BF63,AG$6&lt;=$BG63),IF(AND(AG$6&gt;=$BD63,AG$6&lt;=$BE63),"実","外"),IF(AND(AG$6&gt;=$BD63,AG$6&lt;=$BE63),"計",IF(AND(AG$6&gt;=$BH63,AG$6&lt;=$BI63),"遅","")))))</f>
        <v/>
      </c>
      <c r="AH63" s="93" t="str">
        <f>IF($BB63="","",IF(AH$6=$BJ63,"◆",IF(AND(AH$6&gt;=$BF63,AH$6&lt;=$BG63),IF(AND(AH$6&gt;=$BD63,AH$6&lt;=$BE63),"実","外"),IF(AND(AH$6&gt;=$BD63,AH$6&lt;=$BE63),"計",IF(AND(AH$6&gt;=$BH63,AH$6&lt;=$BI63),"遅","")))))</f>
        <v/>
      </c>
      <c r="AI63" s="93" t="str">
        <f>IF($BB63="","",IF(AI$6=$BJ63,"◆",IF(AND(AI$6&gt;=$BF63,AI$6&lt;=$BG63),IF(AND(AI$6&gt;=$BD63,AI$6&lt;=$BE63),"実","外"),IF(AND(AI$6&gt;=$BD63,AI$6&lt;=$BE63),"計",IF(AND(AI$6&gt;=$BH63,AI$6&lt;=$BI63),"遅","")))))</f>
        <v/>
      </c>
      <c r="AJ63" s="93" t="str">
        <f>IF($BB63="","",IF(AJ$6=$BJ63,"◆",IF(AND(AJ$6&gt;=$BF63,AJ$6&lt;=$BG63),IF(AND(AJ$6&gt;=$BD63,AJ$6&lt;=$BE63),"実","外"),IF(AND(AJ$6&gt;=$BD63,AJ$6&lt;=$BE63),"計",IF(AND(AJ$6&gt;=$BH63,AJ$6&lt;=$BI63),"遅","")))))</f>
        <v/>
      </c>
      <c r="AK63" s="93" t="str">
        <f>IF($BB63="","",IF(AK$6=$BJ63,"◆",IF(AND(AK$6&gt;=$BF63,AK$6&lt;=$BG63),IF(AND(AK$6&gt;=$BD63,AK$6&lt;=$BE63),"実","外"),IF(AND(AK$6&gt;=$BD63,AK$6&lt;=$BE63),"計",IF(AND(AK$6&gt;=$BH63,AK$6&lt;=$BI63),"遅","")))))</f>
        <v/>
      </c>
      <c r="AL63" s="93" t="str">
        <f>IF($BB63="","",IF(AL$6=$BJ63,"◆",IF(AND(AL$6&gt;=$BF63,AL$6&lt;=$BG63),IF(AND(AL$6&gt;=$BD63,AL$6&lt;=$BE63),"実","外"),IF(AND(AL$6&gt;=$BD63,AL$6&lt;=$BE63),"計",IF(AND(AL$6&gt;=$BH63,AL$6&lt;=$BI63),"遅","")))))</f>
        <v/>
      </c>
      <c r="AM63" s="93" t="str">
        <f>IF($BB63="","",IF(AM$6=$BJ63,"◆",IF(AND(AM$6&gt;=$BF63,AM$6&lt;=$BG63),IF(AND(AM$6&gt;=$BD63,AM$6&lt;=$BE63),"実","外"),IF(AND(AM$6&gt;=$BD63,AM$6&lt;=$BE63),"計",IF(AND(AM$6&gt;=$BH63,AM$6&lt;=$BI63),"遅","")))))</f>
        <v/>
      </c>
      <c r="AN63" s="93" t="str">
        <f>IF($BB63="","",IF(AN$6=$BJ63,"◆",IF(AND(AN$6&gt;=$BF63,AN$6&lt;=$BG63),IF(AND(AN$6&gt;=$BD63,AN$6&lt;=$BE63),"実","外"),IF(AND(AN$6&gt;=$BD63,AN$6&lt;=$BE63),"計",IF(AND(AN$6&gt;=$BH63,AN$6&lt;=$BI63),"遅","")))))</f>
        <v/>
      </c>
      <c r="AO63" s="93" t="str">
        <f>IF($BB63="","",IF(AO$6=$BJ63,"◆",IF(AND(AO$6&gt;=$BF63,AO$6&lt;=$BG63),IF(AND(AO$6&gt;=$BD63,AO$6&lt;=$BE63),"実","外"),IF(AND(AO$6&gt;=$BD63,AO$6&lt;=$BE63),"計",IF(AND(AO$6&gt;=$BH63,AO$6&lt;=$BI63),"遅","")))))</f>
        <v/>
      </c>
      <c r="AP63" s="93" t="str">
        <f>IF($BB63="","",IF(AP$6=$BJ63,"◆",IF(AND(AP$6&gt;=$BF63,AP$6&lt;=$BG63),IF(AND(AP$6&gt;=$BD63,AP$6&lt;=$BE63),"実","外"),IF(AND(AP$6&gt;=$BD63,AP$6&lt;=$BE63),"計",IF(AND(AP$6&gt;=$BH63,AP$6&lt;=$BI63),"遅","")))))</f>
        <v/>
      </c>
      <c r="AQ63" s="93" t="str">
        <f>IF($BB63="","",IF(AQ$6=$BJ63,"◆",IF(AND(AQ$6&gt;=$BF63,AQ$6&lt;=$BG63),IF(AND(AQ$6&gt;=$BD63,AQ$6&lt;=$BE63),"実","外"),IF(AND(AQ$6&gt;=$BD63,AQ$6&lt;=$BE63),"計",IF(AND(AQ$6&gt;=$BH63,AQ$6&lt;=$BI63),"遅","")))))</f>
        <v/>
      </c>
      <c r="AR63" s="93" t="str">
        <f>IF($BB63="","",IF(AR$6=$BJ63,"◆",IF(AND(AR$6&gt;=$BF63,AR$6&lt;=$BG63),IF(AND(AR$6&gt;=$BD63,AR$6&lt;=$BE63),"実","外"),IF(AND(AR$6&gt;=$BD63,AR$6&lt;=$BE63),"計",IF(AND(AR$6&gt;=$BH63,AR$6&lt;=$BI63),"遅","")))))</f>
        <v/>
      </c>
      <c r="AS63" s="93" t="str">
        <f>IF($BB63="","",IF(AS$6=$BJ63,"◆",IF(AND(AS$6&gt;=$BF63,AS$6&lt;=$BG63),IF(AND(AS$6&gt;=$BD63,AS$6&lt;=$BE63),"実","外"),IF(AND(AS$6&gt;=$BD63,AS$6&lt;=$BE63),"計",IF(AND(AS$6&gt;=$BH63,AS$6&lt;=$BI63),"遅","")))))</f>
        <v/>
      </c>
      <c r="AT63" s="93" t="str">
        <f>IF($BB63="","",IF(AT$6=$BJ63,"◆",IF(AND(AT$6&gt;=$BF63,AT$6&lt;=$BG63),IF(AND(AT$6&gt;=$BD63,AT$6&lt;=$BE63),"実","外"),IF(AND(AT$6&gt;=$BD63,AT$6&lt;=$BE63),"計",IF(AND(AT$6&gt;=$BH63,AT$6&lt;=$BI63),"遅","")))))</f>
        <v/>
      </c>
      <c r="AU63" s="93" t="str">
        <f>IF($BB63="","",IF(AU$6=$BJ63,"◆",IF(AND(AU$6&gt;=$BF63,AU$6&lt;=$BG63),IF(AND(AU$6&gt;=$BD63,AU$6&lt;=$BE63),"実","外"),IF(AND(AU$6&gt;=$BD63,AU$6&lt;=$BE63),"計",IF(AND(AU$6&gt;=$BH63,AU$6&lt;=$BI63),"遅","")))))</f>
        <v/>
      </c>
      <c r="AV63" s="93" t="str">
        <f>IF($BB63="","",IF(AV$6=$BJ63,"◆",IF(AND(AV$6&gt;=$BF63,AV$6&lt;=$BG63),IF(AND(AV$6&gt;=$BD63,AV$6&lt;=$BE63),"実","外"),IF(AND(AV$6&gt;=$BD63,AV$6&lt;=$BE63),"計",IF(AND(AV$6&gt;=$BH63,AV$6&lt;=$BI63),"遅","")))))</f>
        <v/>
      </c>
      <c r="AW63" s="93" t="str">
        <f>IF($BB63="","",IF(AW$6=$BJ63,"◆",IF(AND(AW$6&gt;=$BF63,AW$6&lt;=$BG63),IF(AND(AW$6&gt;=$BD63,AW$6&lt;=$BE63),"実","外"),IF(AND(AW$6&gt;=$BD63,AW$6&lt;=$BE63),"計",IF(AND(AW$6&gt;=$BH63,AW$6&lt;=$BI63),"遅","")))))</f>
        <v/>
      </c>
      <c r="AX63" s="93" t="str">
        <f>IF($BB63="","",IF(AX$6=$BJ63,"◆",IF(AND(AX$6&gt;=$BF63,AX$6&lt;=$BG63),IF(AND(AX$6&gt;=$BD63,AX$6&lt;=$BE63),"実","外"),IF(AND(AX$6&gt;=$BD63,AX$6&lt;=$BE63),"計",IF(AND(AX$6&gt;=$BH63,AX$6&lt;=$BI63),"遅","")))))</f>
        <v/>
      </c>
      <c r="AY63" s="93" t="str">
        <f>IF($BB63="","",IF(AY$6=$BJ63,"◆",IF(AND(AY$6&gt;=$BF63,AY$6&lt;=$BG63),IF(AND(AY$6&gt;=$BD63,AY$6&lt;=$BE63),"実","外"),IF(AND(AY$6&gt;=$BD63,AY$6&lt;=$BE63),"計",IF(AND(AY$6&gt;=$BH63,AY$6&lt;=$BI63),"遅","")))))</f>
        <v/>
      </c>
      <c r="AZ63" s="93" t="str">
        <f>IF($BB63="","",IF(AZ$6=$BJ63,"◆",IF(AND(AZ$6&gt;=$BF63,AZ$6&lt;=$BG63),IF(AND(AZ$6&gt;=$BD63,AZ$6&lt;=$BE63),"実","外"),IF(AND(AZ$6&gt;=$BD63,AZ$6&lt;=$BE63),"計",IF(AND(AZ$6&gt;=$BH63,AZ$6&lt;=$BI63),"遅","")))))</f>
        <v/>
      </c>
      <c r="BB63" t="str">
        <f>IF(56&gt;COUNTIF(tblSteps[日別対象],1),"",IFERROR(MATCH(56,tblSteps[日別順位],0),""))</f>
        <v/>
      </c>
      <c r="BC63" t="str">
        <f>IF($BB63="","",INDEX(tblSteps[案件ID],$BB63)&amp;"")</f>
        <v/>
      </c>
      <c r="BD63" t="str">
        <f>IF($BB63="","",INDEX(tblSteps[計開],$BB63))</f>
        <v/>
      </c>
      <c r="BE63" t="str">
        <f>IF($BB63="","",INDEX(tblSteps[計終],$BB63))</f>
        <v/>
      </c>
      <c r="BF63" t="str">
        <f>IF($BB63="","",INDEX(tblSteps[実開],$BB63))</f>
        <v/>
      </c>
      <c r="BG63" t="str">
        <f>IF($BB63="","",INDEX(tblSteps[実終],$BB63))</f>
        <v/>
      </c>
      <c r="BH63" t="str">
        <f>IF($BB63="","",INDEX(tblSteps[遅開],$BB63))</f>
        <v/>
      </c>
      <c r="BI63" t="str">
        <f>IF($BB63="","",INDEX(tblSteps[遅終],$BB63))</f>
        <v/>
      </c>
      <c r="BJ63" t="str">
        <f>IF($BB63="","",INDEX(tblSteps[納期値],$BB63))</f>
        <v/>
      </c>
    </row>
    <row r="64" ht="18" customHeight="1">
      <c r="A64" s="89" t="str">
        <f>IF($BB64="","",INDEX(tblSteps[工程ID],$BB64)&amp;"")</f>
        <v/>
      </c>
      <c r="B64" s="88" t="str">
        <f>IF($BB64="","",IF($BC64=$BC63,"",$BC64&amp;" "&amp;INDEX(tblSteps[案件名],$BB64)))</f>
        <v/>
      </c>
      <c r="C64" s="88" t="str">
        <f>IF($BB64="","",INDEX(tblSteps[工程名],$BB64)&amp;"")</f>
        <v/>
      </c>
      <c r="D64" s="89" t="str">
        <f>IF($BB64="","",INDEX(tblSteps[担当],$BB64)&amp;"")</f>
        <v/>
      </c>
      <c r="E64" s="89" t="str">
        <f>IF($BB64="","",INDEX(tblSteps[状態],$BB64)&amp;"")</f>
        <v/>
      </c>
      <c r="F64" s="90" t="str">
        <f>IF($BB64="","",IF(ISNUMBER(INDEX(tblSteps[進捗率],$BB64)),INDEX(tblSteps[進捗率],$BB64),""))</f>
        <v/>
      </c>
      <c r="G64" s="91" t="str">
        <f>IF($BB64="","",IF(ISNUMBER(INDEX(tblSteps[計画開始日],$BB64)),INDEX(tblSteps[計画開始日],$BB64),"未入力"))</f>
        <v/>
      </c>
      <c r="H64" s="91" t="str">
        <f>IF($BB64="","",IF(ISNUMBER(INDEX(tblSteps[計画終了日],$BB64)),INDEX(tblSteps[計画終了日],$BB64),"未入力"))</f>
        <v/>
      </c>
      <c r="I64" s="91" t="str">
        <f>IF($BB64="","",IF(ISNUMBER(INDEX(tblSteps[完了見込日],$BB64)),INDEX(tblSteps[完了見込日],$BB64),""))</f>
        <v/>
      </c>
      <c r="J64" s="92" t="str">
        <f>IF($BB64="","",INDEX(tblSteps[注意短],$BB64)&amp;"")</f>
        <v/>
      </c>
      <c r="K64" s="93" t="str">
        <f>IF($BB64="","",IF(K$6=$BJ64,"◆",IF(AND(K$6&gt;=$BF64,K$6&lt;=$BG64),IF(AND(K$6&gt;=$BD64,K$6&lt;=$BE64),"実","外"),IF(AND(K$6&gt;=$BD64,K$6&lt;=$BE64),"計",IF(AND(K$6&gt;=$BH64,K$6&lt;=$BI64),"遅","")))))</f>
        <v/>
      </c>
      <c r="L64" s="93" t="str">
        <f>IF($BB64="","",IF(L$6=$BJ64,"◆",IF(AND(L$6&gt;=$BF64,L$6&lt;=$BG64),IF(AND(L$6&gt;=$BD64,L$6&lt;=$BE64),"実","外"),IF(AND(L$6&gt;=$BD64,L$6&lt;=$BE64),"計",IF(AND(L$6&gt;=$BH64,L$6&lt;=$BI64),"遅","")))))</f>
        <v/>
      </c>
      <c r="M64" s="93" t="str">
        <f>IF($BB64="","",IF(M$6=$BJ64,"◆",IF(AND(M$6&gt;=$BF64,M$6&lt;=$BG64),IF(AND(M$6&gt;=$BD64,M$6&lt;=$BE64),"実","外"),IF(AND(M$6&gt;=$BD64,M$6&lt;=$BE64),"計",IF(AND(M$6&gt;=$BH64,M$6&lt;=$BI64),"遅","")))))</f>
        <v/>
      </c>
      <c r="N64" s="93" t="str">
        <f>IF($BB64="","",IF(N$6=$BJ64,"◆",IF(AND(N$6&gt;=$BF64,N$6&lt;=$BG64),IF(AND(N$6&gt;=$BD64,N$6&lt;=$BE64),"実","外"),IF(AND(N$6&gt;=$BD64,N$6&lt;=$BE64),"計",IF(AND(N$6&gt;=$BH64,N$6&lt;=$BI64),"遅","")))))</f>
        <v/>
      </c>
      <c r="O64" s="93" t="str">
        <f>IF($BB64="","",IF(O$6=$BJ64,"◆",IF(AND(O$6&gt;=$BF64,O$6&lt;=$BG64),IF(AND(O$6&gt;=$BD64,O$6&lt;=$BE64),"実","外"),IF(AND(O$6&gt;=$BD64,O$6&lt;=$BE64),"計",IF(AND(O$6&gt;=$BH64,O$6&lt;=$BI64),"遅","")))))</f>
        <v/>
      </c>
      <c r="P64" s="93" t="str">
        <f>IF($BB64="","",IF(P$6=$BJ64,"◆",IF(AND(P$6&gt;=$BF64,P$6&lt;=$BG64),IF(AND(P$6&gt;=$BD64,P$6&lt;=$BE64),"実","外"),IF(AND(P$6&gt;=$BD64,P$6&lt;=$BE64),"計",IF(AND(P$6&gt;=$BH64,P$6&lt;=$BI64),"遅","")))))</f>
        <v/>
      </c>
      <c r="Q64" s="93" t="str">
        <f>IF($BB64="","",IF(Q$6=$BJ64,"◆",IF(AND(Q$6&gt;=$BF64,Q$6&lt;=$BG64),IF(AND(Q$6&gt;=$BD64,Q$6&lt;=$BE64),"実","外"),IF(AND(Q$6&gt;=$BD64,Q$6&lt;=$BE64),"計",IF(AND(Q$6&gt;=$BH64,Q$6&lt;=$BI64),"遅","")))))</f>
        <v/>
      </c>
      <c r="R64" s="93" t="str">
        <f>IF($BB64="","",IF(R$6=$BJ64,"◆",IF(AND(R$6&gt;=$BF64,R$6&lt;=$BG64),IF(AND(R$6&gt;=$BD64,R$6&lt;=$BE64),"実","外"),IF(AND(R$6&gt;=$BD64,R$6&lt;=$BE64),"計",IF(AND(R$6&gt;=$BH64,R$6&lt;=$BI64),"遅","")))))</f>
        <v/>
      </c>
      <c r="S64" s="93" t="str">
        <f>IF($BB64="","",IF(S$6=$BJ64,"◆",IF(AND(S$6&gt;=$BF64,S$6&lt;=$BG64),IF(AND(S$6&gt;=$BD64,S$6&lt;=$BE64),"実","外"),IF(AND(S$6&gt;=$BD64,S$6&lt;=$BE64),"計",IF(AND(S$6&gt;=$BH64,S$6&lt;=$BI64),"遅","")))))</f>
        <v/>
      </c>
      <c r="T64" s="93" t="str">
        <f>IF($BB64="","",IF(T$6=$BJ64,"◆",IF(AND(T$6&gt;=$BF64,T$6&lt;=$BG64),IF(AND(T$6&gt;=$BD64,T$6&lt;=$BE64),"実","外"),IF(AND(T$6&gt;=$BD64,T$6&lt;=$BE64),"計",IF(AND(T$6&gt;=$BH64,T$6&lt;=$BI64),"遅","")))))</f>
        <v/>
      </c>
      <c r="U64" s="93" t="str">
        <f>IF($BB64="","",IF(U$6=$BJ64,"◆",IF(AND(U$6&gt;=$BF64,U$6&lt;=$BG64),IF(AND(U$6&gt;=$BD64,U$6&lt;=$BE64),"実","外"),IF(AND(U$6&gt;=$BD64,U$6&lt;=$BE64),"計",IF(AND(U$6&gt;=$BH64,U$6&lt;=$BI64),"遅","")))))</f>
        <v/>
      </c>
      <c r="V64" s="93" t="str">
        <f>IF($BB64="","",IF(V$6=$BJ64,"◆",IF(AND(V$6&gt;=$BF64,V$6&lt;=$BG64),IF(AND(V$6&gt;=$BD64,V$6&lt;=$BE64),"実","外"),IF(AND(V$6&gt;=$BD64,V$6&lt;=$BE64),"計",IF(AND(V$6&gt;=$BH64,V$6&lt;=$BI64),"遅","")))))</f>
        <v/>
      </c>
      <c r="W64" s="93" t="str">
        <f>IF($BB64="","",IF(W$6=$BJ64,"◆",IF(AND(W$6&gt;=$BF64,W$6&lt;=$BG64),IF(AND(W$6&gt;=$BD64,W$6&lt;=$BE64),"実","外"),IF(AND(W$6&gt;=$BD64,W$6&lt;=$BE64),"計",IF(AND(W$6&gt;=$BH64,W$6&lt;=$BI64),"遅","")))))</f>
        <v/>
      </c>
      <c r="X64" s="93" t="str">
        <f>IF($BB64="","",IF(X$6=$BJ64,"◆",IF(AND(X$6&gt;=$BF64,X$6&lt;=$BG64),IF(AND(X$6&gt;=$BD64,X$6&lt;=$BE64),"実","外"),IF(AND(X$6&gt;=$BD64,X$6&lt;=$BE64),"計",IF(AND(X$6&gt;=$BH64,X$6&lt;=$BI64),"遅","")))))</f>
        <v/>
      </c>
      <c r="Y64" s="93" t="str">
        <f>IF($BB64="","",IF(Y$6=$BJ64,"◆",IF(AND(Y$6&gt;=$BF64,Y$6&lt;=$BG64),IF(AND(Y$6&gt;=$BD64,Y$6&lt;=$BE64),"実","外"),IF(AND(Y$6&gt;=$BD64,Y$6&lt;=$BE64),"計",IF(AND(Y$6&gt;=$BH64,Y$6&lt;=$BI64),"遅","")))))</f>
        <v/>
      </c>
      <c r="Z64" s="93" t="str">
        <f>IF($BB64="","",IF(Z$6=$BJ64,"◆",IF(AND(Z$6&gt;=$BF64,Z$6&lt;=$BG64),IF(AND(Z$6&gt;=$BD64,Z$6&lt;=$BE64),"実","外"),IF(AND(Z$6&gt;=$BD64,Z$6&lt;=$BE64),"計",IF(AND(Z$6&gt;=$BH64,Z$6&lt;=$BI64),"遅","")))))</f>
        <v/>
      </c>
      <c r="AA64" s="93" t="str">
        <f>IF($BB64="","",IF(AA$6=$BJ64,"◆",IF(AND(AA$6&gt;=$BF64,AA$6&lt;=$BG64),IF(AND(AA$6&gt;=$BD64,AA$6&lt;=$BE64),"実","外"),IF(AND(AA$6&gt;=$BD64,AA$6&lt;=$BE64),"計",IF(AND(AA$6&gt;=$BH64,AA$6&lt;=$BI64),"遅","")))))</f>
        <v/>
      </c>
      <c r="AB64" s="93" t="str">
        <f>IF($BB64="","",IF(AB$6=$BJ64,"◆",IF(AND(AB$6&gt;=$BF64,AB$6&lt;=$BG64),IF(AND(AB$6&gt;=$BD64,AB$6&lt;=$BE64),"実","外"),IF(AND(AB$6&gt;=$BD64,AB$6&lt;=$BE64),"計",IF(AND(AB$6&gt;=$BH64,AB$6&lt;=$BI64),"遅","")))))</f>
        <v/>
      </c>
      <c r="AC64" s="93" t="str">
        <f>IF($BB64="","",IF(AC$6=$BJ64,"◆",IF(AND(AC$6&gt;=$BF64,AC$6&lt;=$BG64),IF(AND(AC$6&gt;=$BD64,AC$6&lt;=$BE64),"実","外"),IF(AND(AC$6&gt;=$BD64,AC$6&lt;=$BE64),"計",IF(AND(AC$6&gt;=$BH64,AC$6&lt;=$BI64),"遅","")))))</f>
        <v/>
      </c>
      <c r="AD64" s="93" t="str">
        <f>IF($BB64="","",IF(AD$6=$BJ64,"◆",IF(AND(AD$6&gt;=$BF64,AD$6&lt;=$BG64),IF(AND(AD$6&gt;=$BD64,AD$6&lt;=$BE64),"実","外"),IF(AND(AD$6&gt;=$BD64,AD$6&lt;=$BE64),"計",IF(AND(AD$6&gt;=$BH64,AD$6&lt;=$BI64),"遅","")))))</f>
        <v/>
      </c>
      <c r="AE64" s="93" t="str">
        <f>IF($BB64="","",IF(AE$6=$BJ64,"◆",IF(AND(AE$6&gt;=$BF64,AE$6&lt;=$BG64),IF(AND(AE$6&gt;=$BD64,AE$6&lt;=$BE64),"実","外"),IF(AND(AE$6&gt;=$BD64,AE$6&lt;=$BE64),"計",IF(AND(AE$6&gt;=$BH64,AE$6&lt;=$BI64),"遅","")))))</f>
        <v/>
      </c>
      <c r="AF64" s="93" t="str">
        <f>IF($BB64="","",IF(AF$6=$BJ64,"◆",IF(AND(AF$6&gt;=$BF64,AF$6&lt;=$BG64),IF(AND(AF$6&gt;=$BD64,AF$6&lt;=$BE64),"実","外"),IF(AND(AF$6&gt;=$BD64,AF$6&lt;=$BE64),"計",IF(AND(AF$6&gt;=$BH64,AF$6&lt;=$BI64),"遅","")))))</f>
        <v/>
      </c>
      <c r="AG64" s="93" t="str">
        <f>IF($BB64="","",IF(AG$6=$BJ64,"◆",IF(AND(AG$6&gt;=$BF64,AG$6&lt;=$BG64),IF(AND(AG$6&gt;=$BD64,AG$6&lt;=$BE64),"実","外"),IF(AND(AG$6&gt;=$BD64,AG$6&lt;=$BE64),"計",IF(AND(AG$6&gt;=$BH64,AG$6&lt;=$BI64),"遅","")))))</f>
        <v/>
      </c>
      <c r="AH64" s="93" t="str">
        <f>IF($BB64="","",IF(AH$6=$BJ64,"◆",IF(AND(AH$6&gt;=$BF64,AH$6&lt;=$BG64),IF(AND(AH$6&gt;=$BD64,AH$6&lt;=$BE64),"実","外"),IF(AND(AH$6&gt;=$BD64,AH$6&lt;=$BE64),"計",IF(AND(AH$6&gt;=$BH64,AH$6&lt;=$BI64),"遅","")))))</f>
        <v/>
      </c>
      <c r="AI64" s="93" t="str">
        <f>IF($BB64="","",IF(AI$6=$BJ64,"◆",IF(AND(AI$6&gt;=$BF64,AI$6&lt;=$BG64),IF(AND(AI$6&gt;=$BD64,AI$6&lt;=$BE64),"実","外"),IF(AND(AI$6&gt;=$BD64,AI$6&lt;=$BE64),"計",IF(AND(AI$6&gt;=$BH64,AI$6&lt;=$BI64),"遅","")))))</f>
        <v/>
      </c>
      <c r="AJ64" s="93" t="str">
        <f>IF($BB64="","",IF(AJ$6=$BJ64,"◆",IF(AND(AJ$6&gt;=$BF64,AJ$6&lt;=$BG64),IF(AND(AJ$6&gt;=$BD64,AJ$6&lt;=$BE64),"実","外"),IF(AND(AJ$6&gt;=$BD64,AJ$6&lt;=$BE64),"計",IF(AND(AJ$6&gt;=$BH64,AJ$6&lt;=$BI64),"遅","")))))</f>
        <v/>
      </c>
      <c r="AK64" s="93" t="str">
        <f>IF($BB64="","",IF(AK$6=$BJ64,"◆",IF(AND(AK$6&gt;=$BF64,AK$6&lt;=$BG64),IF(AND(AK$6&gt;=$BD64,AK$6&lt;=$BE64),"実","外"),IF(AND(AK$6&gt;=$BD64,AK$6&lt;=$BE64),"計",IF(AND(AK$6&gt;=$BH64,AK$6&lt;=$BI64),"遅","")))))</f>
        <v/>
      </c>
      <c r="AL64" s="93" t="str">
        <f>IF($BB64="","",IF(AL$6=$BJ64,"◆",IF(AND(AL$6&gt;=$BF64,AL$6&lt;=$BG64),IF(AND(AL$6&gt;=$BD64,AL$6&lt;=$BE64),"実","外"),IF(AND(AL$6&gt;=$BD64,AL$6&lt;=$BE64),"計",IF(AND(AL$6&gt;=$BH64,AL$6&lt;=$BI64),"遅","")))))</f>
        <v/>
      </c>
      <c r="AM64" s="93" t="str">
        <f>IF($BB64="","",IF(AM$6=$BJ64,"◆",IF(AND(AM$6&gt;=$BF64,AM$6&lt;=$BG64),IF(AND(AM$6&gt;=$BD64,AM$6&lt;=$BE64),"実","外"),IF(AND(AM$6&gt;=$BD64,AM$6&lt;=$BE64),"計",IF(AND(AM$6&gt;=$BH64,AM$6&lt;=$BI64),"遅","")))))</f>
        <v/>
      </c>
      <c r="AN64" s="93" t="str">
        <f>IF($BB64="","",IF(AN$6=$BJ64,"◆",IF(AND(AN$6&gt;=$BF64,AN$6&lt;=$BG64),IF(AND(AN$6&gt;=$BD64,AN$6&lt;=$BE64),"実","外"),IF(AND(AN$6&gt;=$BD64,AN$6&lt;=$BE64),"計",IF(AND(AN$6&gt;=$BH64,AN$6&lt;=$BI64),"遅","")))))</f>
        <v/>
      </c>
      <c r="AO64" s="93" t="str">
        <f>IF($BB64="","",IF(AO$6=$BJ64,"◆",IF(AND(AO$6&gt;=$BF64,AO$6&lt;=$BG64),IF(AND(AO$6&gt;=$BD64,AO$6&lt;=$BE64),"実","外"),IF(AND(AO$6&gt;=$BD64,AO$6&lt;=$BE64),"計",IF(AND(AO$6&gt;=$BH64,AO$6&lt;=$BI64),"遅","")))))</f>
        <v/>
      </c>
      <c r="AP64" s="93" t="str">
        <f>IF($BB64="","",IF(AP$6=$BJ64,"◆",IF(AND(AP$6&gt;=$BF64,AP$6&lt;=$BG64),IF(AND(AP$6&gt;=$BD64,AP$6&lt;=$BE64),"実","外"),IF(AND(AP$6&gt;=$BD64,AP$6&lt;=$BE64),"計",IF(AND(AP$6&gt;=$BH64,AP$6&lt;=$BI64),"遅","")))))</f>
        <v/>
      </c>
      <c r="AQ64" s="93" t="str">
        <f>IF($BB64="","",IF(AQ$6=$BJ64,"◆",IF(AND(AQ$6&gt;=$BF64,AQ$6&lt;=$BG64),IF(AND(AQ$6&gt;=$BD64,AQ$6&lt;=$BE64),"実","外"),IF(AND(AQ$6&gt;=$BD64,AQ$6&lt;=$BE64),"計",IF(AND(AQ$6&gt;=$BH64,AQ$6&lt;=$BI64),"遅","")))))</f>
        <v/>
      </c>
      <c r="AR64" s="93" t="str">
        <f>IF($BB64="","",IF(AR$6=$BJ64,"◆",IF(AND(AR$6&gt;=$BF64,AR$6&lt;=$BG64),IF(AND(AR$6&gt;=$BD64,AR$6&lt;=$BE64),"実","外"),IF(AND(AR$6&gt;=$BD64,AR$6&lt;=$BE64),"計",IF(AND(AR$6&gt;=$BH64,AR$6&lt;=$BI64),"遅","")))))</f>
        <v/>
      </c>
      <c r="AS64" s="93" t="str">
        <f>IF($BB64="","",IF(AS$6=$BJ64,"◆",IF(AND(AS$6&gt;=$BF64,AS$6&lt;=$BG64),IF(AND(AS$6&gt;=$BD64,AS$6&lt;=$BE64),"実","外"),IF(AND(AS$6&gt;=$BD64,AS$6&lt;=$BE64),"計",IF(AND(AS$6&gt;=$BH64,AS$6&lt;=$BI64),"遅","")))))</f>
        <v/>
      </c>
      <c r="AT64" s="93" t="str">
        <f>IF($BB64="","",IF(AT$6=$BJ64,"◆",IF(AND(AT$6&gt;=$BF64,AT$6&lt;=$BG64),IF(AND(AT$6&gt;=$BD64,AT$6&lt;=$BE64),"実","外"),IF(AND(AT$6&gt;=$BD64,AT$6&lt;=$BE64),"計",IF(AND(AT$6&gt;=$BH64,AT$6&lt;=$BI64),"遅","")))))</f>
        <v/>
      </c>
      <c r="AU64" s="93" t="str">
        <f>IF($BB64="","",IF(AU$6=$BJ64,"◆",IF(AND(AU$6&gt;=$BF64,AU$6&lt;=$BG64),IF(AND(AU$6&gt;=$BD64,AU$6&lt;=$BE64),"実","外"),IF(AND(AU$6&gt;=$BD64,AU$6&lt;=$BE64),"計",IF(AND(AU$6&gt;=$BH64,AU$6&lt;=$BI64),"遅","")))))</f>
        <v/>
      </c>
      <c r="AV64" s="93" t="str">
        <f>IF($BB64="","",IF(AV$6=$BJ64,"◆",IF(AND(AV$6&gt;=$BF64,AV$6&lt;=$BG64),IF(AND(AV$6&gt;=$BD64,AV$6&lt;=$BE64),"実","外"),IF(AND(AV$6&gt;=$BD64,AV$6&lt;=$BE64),"計",IF(AND(AV$6&gt;=$BH64,AV$6&lt;=$BI64),"遅","")))))</f>
        <v/>
      </c>
      <c r="AW64" s="93" t="str">
        <f>IF($BB64="","",IF(AW$6=$BJ64,"◆",IF(AND(AW$6&gt;=$BF64,AW$6&lt;=$BG64),IF(AND(AW$6&gt;=$BD64,AW$6&lt;=$BE64),"実","外"),IF(AND(AW$6&gt;=$BD64,AW$6&lt;=$BE64),"計",IF(AND(AW$6&gt;=$BH64,AW$6&lt;=$BI64),"遅","")))))</f>
        <v/>
      </c>
      <c r="AX64" s="93" t="str">
        <f>IF($BB64="","",IF(AX$6=$BJ64,"◆",IF(AND(AX$6&gt;=$BF64,AX$6&lt;=$BG64),IF(AND(AX$6&gt;=$BD64,AX$6&lt;=$BE64),"実","外"),IF(AND(AX$6&gt;=$BD64,AX$6&lt;=$BE64),"計",IF(AND(AX$6&gt;=$BH64,AX$6&lt;=$BI64),"遅","")))))</f>
        <v/>
      </c>
      <c r="AY64" s="93" t="str">
        <f>IF($BB64="","",IF(AY$6=$BJ64,"◆",IF(AND(AY$6&gt;=$BF64,AY$6&lt;=$BG64),IF(AND(AY$6&gt;=$BD64,AY$6&lt;=$BE64),"実","外"),IF(AND(AY$6&gt;=$BD64,AY$6&lt;=$BE64),"計",IF(AND(AY$6&gt;=$BH64,AY$6&lt;=$BI64),"遅","")))))</f>
        <v/>
      </c>
      <c r="AZ64" s="93" t="str">
        <f>IF($BB64="","",IF(AZ$6=$BJ64,"◆",IF(AND(AZ$6&gt;=$BF64,AZ$6&lt;=$BG64),IF(AND(AZ$6&gt;=$BD64,AZ$6&lt;=$BE64),"実","外"),IF(AND(AZ$6&gt;=$BD64,AZ$6&lt;=$BE64),"計",IF(AND(AZ$6&gt;=$BH64,AZ$6&lt;=$BI64),"遅","")))))</f>
        <v/>
      </c>
      <c r="BB64" t="str">
        <f>IF(57&gt;COUNTIF(tblSteps[日別対象],1),"",IFERROR(MATCH(57,tblSteps[日別順位],0),""))</f>
        <v/>
      </c>
      <c r="BC64" t="str">
        <f>IF($BB64="","",INDEX(tblSteps[案件ID],$BB64)&amp;"")</f>
        <v/>
      </c>
      <c r="BD64" t="str">
        <f>IF($BB64="","",INDEX(tblSteps[計開],$BB64))</f>
        <v/>
      </c>
      <c r="BE64" t="str">
        <f>IF($BB64="","",INDEX(tblSteps[計終],$BB64))</f>
        <v/>
      </c>
      <c r="BF64" t="str">
        <f>IF($BB64="","",INDEX(tblSteps[実開],$BB64))</f>
        <v/>
      </c>
      <c r="BG64" t="str">
        <f>IF($BB64="","",INDEX(tblSteps[実終],$BB64))</f>
        <v/>
      </c>
      <c r="BH64" t="str">
        <f>IF($BB64="","",INDEX(tblSteps[遅開],$BB64))</f>
        <v/>
      </c>
      <c r="BI64" t="str">
        <f>IF($BB64="","",INDEX(tblSteps[遅終],$BB64))</f>
        <v/>
      </c>
      <c r="BJ64" t="str">
        <f>IF($BB64="","",INDEX(tblSteps[納期値],$BB64))</f>
        <v/>
      </c>
    </row>
    <row r="65" ht="18" customHeight="1">
      <c r="A65" s="89" t="str">
        <f>IF($BB65="","",INDEX(tblSteps[工程ID],$BB65)&amp;"")</f>
        <v/>
      </c>
      <c r="B65" s="88" t="str">
        <f>IF($BB65="","",IF($BC65=$BC64,"",$BC65&amp;" "&amp;INDEX(tblSteps[案件名],$BB65)))</f>
        <v/>
      </c>
      <c r="C65" s="88" t="str">
        <f>IF($BB65="","",INDEX(tblSteps[工程名],$BB65)&amp;"")</f>
        <v/>
      </c>
      <c r="D65" s="89" t="str">
        <f>IF($BB65="","",INDEX(tblSteps[担当],$BB65)&amp;"")</f>
        <v/>
      </c>
      <c r="E65" s="89" t="str">
        <f>IF($BB65="","",INDEX(tblSteps[状態],$BB65)&amp;"")</f>
        <v/>
      </c>
      <c r="F65" s="90" t="str">
        <f>IF($BB65="","",IF(ISNUMBER(INDEX(tblSteps[進捗率],$BB65)),INDEX(tblSteps[進捗率],$BB65),""))</f>
        <v/>
      </c>
      <c r="G65" s="91" t="str">
        <f>IF($BB65="","",IF(ISNUMBER(INDEX(tblSteps[計画開始日],$BB65)),INDEX(tblSteps[計画開始日],$BB65),"未入力"))</f>
        <v/>
      </c>
      <c r="H65" s="91" t="str">
        <f>IF($BB65="","",IF(ISNUMBER(INDEX(tblSteps[計画終了日],$BB65)),INDEX(tblSteps[計画終了日],$BB65),"未入力"))</f>
        <v/>
      </c>
      <c r="I65" s="91" t="str">
        <f>IF($BB65="","",IF(ISNUMBER(INDEX(tblSteps[完了見込日],$BB65)),INDEX(tblSteps[完了見込日],$BB65),""))</f>
        <v/>
      </c>
      <c r="J65" s="92" t="str">
        <f>IF($BB65="","",INDEX(tblSteps[注意短],$BB65)&amp;"")</f>
        <v/>
      </c>
      <c r="K65" s="93" t="str">
        <f>IF($BB65="","",IF(K$6=$BJ65,"◆",IF(AND(K$6&gt;=$BF65,K$6&lt;=$BG65),IF(AND(K$6&gt;=$BD65,K$6&lt;=$BE65),"実","外"),IF(AND(K$6&gt;=$BD65,K$6&lt;=$BE65),"計",IF(AND(K$6&gt;=$BH65,K$6&lt;=$BI65),"遅","")))))</f>
        <v/>
      </c>
      <c r="L65" s="93" t="str">
        <f>IF($BB65="","",IF(L$6=$BJ65,"◆",IF(AND(L$6&gt;=$BF65,L$6&lt;=$BG65),IF(AND(L$6&gt;=$BD65,L$6&lt;=$BE65),"実","外"),IF(AND(L$6&gt;=$BD65,L$6&lt;=$BE65),"計",IF(AND(L$6&gt;=$BH65,L$6&lt;=$BI65),"遅","")))))</f>
        <v/>
      </c>
      <c r="M65" s="93" t="str">
        <f>IF($BB65="","",IF(M$6=$BJ65,"◆",IF(AND(M$6&gt;=$BF65,M$6&lt;=$BG65),IF(AND(M$6&gt;=$BD65,M$6&lt;=$BE65),"実","外"),IF(AND(M$6&gt;=$BD65,M$6&lt;=$BE65),"計",IF(AND(M$6&gt;=$BH65,M$6&lt;=$BI65),"遅","")))))</f>
        <v/>
      </c>
      <c r="N65" s="93" t="str">
        <f>IF($BB65="","",IF(N$6=$BJ65,"◆",IF(AND(N$6&gt;=$BF65,N$6&lt;=$BG65),IF(AND(N$6&gt;=$BD65,N$6&lt;=$BE65),"実","外"),IF(AND(N$6&gt;=$BD65,N$6&lt;=$BE65),"計",IF(AND(N$6&gt;=$BH65,N$6&lt;=$BI65),"遅","")))))</f>
        <v/>
      </c>
      <c r="O65" s="93" t="str">
        <f>IF($BB65="","",IF(O$6=$BJ65,"◆",IF(AND(O$6&gt;=$BF65,O$6&lt;=$BG65),IF(AND(O$6&gt;=$BD65,O$6&lt;=$BE65),"実","外"),IF(AND(O$6&gt;=$BD65,O$6&lt;=$BE65),"計",IF(AND(O$6&gt;=$BH65,O$6&lt;=$BI65),"遅","")))))</f>
        <v/>
      </c>
      <c r="P65" s="93" t="str">
        <f>IF($BB65="","",IF(P$6=$BJ65,"◆",IF(AND(P$6&gt;=$BF65,P$6&lt;=$BG65),IF(AND(P$6&gt;=$BD65,P$6&lt;=$BE65),"実","外"),IF(AND(P$6&gt;=$BD65,P$6&lt;=$BE65),"計",IF(AND(P$6&gt;=$BH65,P$6&lt;=$BI65),"遅","")))))</f>
        <v/>
      </c>
      <c r="Q65" s="93" t="str">
        <f>IF($BB65="","",IF(Q$6=$BJ65,"◆",IF(AND(Q$6&gt;=$BF65,Q$6&lt;=$BG65),IF(AND(Q$6&gt;=$BD65,Q$6&lt;=$BE65),"実","外"),IF(AND(Q$6&gt;=$BD65,Q$6&lt;=$BE65),"計",IF(AND(Q$6&gt;=$BH65,Q$6&lt;=$BI65),"遅","")))))</f>
        <v/>
      </c>
      <c r="R65" s="93" t="str">
        <f>IF($BB65="","",IF(R$6=$BJ65,"◆",IF(AND(R$6&gt;=$BF65,R$6&lt;=$BG65),IF(AND(R$6&gt;=$BD65,R$6&lt;=$BE65),"実","外"),IF(AND(R$6&gt;=$BD65,R$6&lt;=$BE65),"計",IF(AND(R$6&gt;=$BH65,R$6&lt;=$BI65),"遅","")))))</f>
        <v/>
      </c>
      <c r="S65" s="93" t="str">
        <f>IF($BB65="","",IF(S$6=$BJ65,"◆",IF(AND(S$6&gt;=$BF65,S$6&lt;=$BG65),IF(AND(S$6&gt;=$BD65,S$6&lt;=$BE65),"実","外"),IF(AND(S$6&gt;=$BD65,S$6&lt;=$BE65),"計",IF(AND(S$6&gt;=$BH65,S$6&lt;=$BI65),"遅","")))))</f>
        <v/>
      </c>
      <c r="T65" s="93" t="str">
        <f>IF($BB65="","",IF(T$6=$BJ65,"◆",IF(AND(T$6&gt;=$BF65,T$6&lt;=$BG65),IF(AND(T$6&gt;=$BD65,T$6&lt;=$BE65),"実","外"),IF(AND(T$6&gt;=$BD65,T$6&lt;=$BE65),"計",IF(AND(T$6&gt;=$BH65,T$6&lt;=$BI65),"遅","")))))</f>
        <v/>
      </c>
      <c r="U65" s="93" t="str">
        <f>IF($BB65="","",IF(U$6=$BJ65,"◆",IF(AND(U$6&gt;=$BF65,U$6&lt;=$BG65),IF(AND(U$6&gt;=$BD65,U$6&lt;=$BE65),"実","外"),IF(AND(U$6&gt;=$BD65,U$6&lt;=$BE65),"計",IF(AND(U$6&gt;=$BH65,U$6&lt;=$BI65),"遅","")))))</f>
        <v/>
      </c>
      <c r="V65" s="93" t="str">
        <f>IF($BB65="","",IF(V$6=$BJ65,"◆",IF(AND(V$6&gt;=$BF65,V$6&lt;=$BG65),IF(AND(V$6&gt;=$BD65,V$6&lt;=$BE65),"実","外"),IF(AND(V$6&gt;=$BD65,V$6&lt;=$BE65),"計",IF(AND(V$6&gt;=$BH65,V$6&lt;=$BI65),"遅","")))))</f>
        <v/>
      </c>
      <c r="W65" s="93" t="str">
        <f>IF($BB65="","",IF(W$6=$BJ65,"◆",IF(AND(W$6&gt;=$BF65,W$6&lt;=$BG65),IF(AND(W$6&gt;=$BD65,W$6&lt;=$BE65),"実","外"),IF(AND(W$6&gt;=$BD65,W$6&lt;=$BE65),"計",IF(AND(W$6&gt;=$BH65,W$6&lt;=$BI65),"遅","")))))</f>
        <v/>
      </c>
      <c r="X65" s="93" t="str">
        <f>IF($BB65="","",IF(X$6=$BJ65,"◆",IF(AND(X$6&gt;=$BF65,X$6&lt;=$BG65),IF(AND(X$6&gt;=$BD65,X$6&lt;=$BE65),"実","外"),IF(AND(X$6&gt;=$BD65,X$6&lt;=$BE65),"計",IF(AND(X$6&gt;=$BH65,X$6&lt;=$BI65),"遅","")))))</f>
        <v/>
      </c>
      <c r="Y65" s="93" t="str">
        <f>IF($BB65="","",IF(Y$6=$BJ65,"◆",IF(AND(Y$6&gt;=$BF65,Y$6&lt;=$BG65),IF(AND(Y$6&gt;=$BD65,Y$6&lt;=$BE65),"実","外"),IF(AND(Y$6&gt;=$BD65,Y$6&lt;=$BE65),"計",IF(AND(Y$6&gt;=$BH65,Y$6&lt;=$BI65),"遅","")))))</f>
        <v/>
      </c>
      <c r="Z65" s="93" t="str">
        <f>IF($BB65="","",IF(Z$6=$BJ65,"◆",IF(AND(Z$6&gt;=$BF65,Z$6&lt;=$BG65),IF(AND(Z$6&gt;=$BD65,Z$6&lt;=$BE65),"実","外"),IF(AND(Z$6&gt;=$BD65,Z$6&lt;=$BE65),"計",IF(AND(Z$6&gt;=$BH65,Z$6&lt;=$BI65),"遅","")))))</f>
        <v/>
      </c>
      <c r="AA65" s="93" t="str">
        <f>IF($BB65="","",IF(AA$6=$BJ65,"◆",IF(AND(AA$6&gt;=$BF65,AA$6&lt;=$BG65),IF(AND(AA$6&gt;=$BD65,AA$6&lt;=$BE65),"実","外"),IF(AND(AA$6&gt;=$BD65,AA$6&lt;=$BE65),"計",IF(AND(AA$6&gt;=$BH65,AA$6&lt;=$BI65),"遅","")))))</f>
        <v/>
      </c>
      <c r="AB65" s="93" t="str">
        <f>IF($BB65="","",IF(AB$6=$BJ65,"◆",IF(AND(AB$6&gt;=$BF65,AB$6&lt;=$BG65),IF(AND(AB$6&gt;=$BD65,AB$6&lt;=$BE65),"実","外"),IF(AND(AB$6&gt;=$BD65,AB$6&lt;=$BE65),"計",IF(AND(AB$6&gt;=$BH65,AB$6&lt;=$BI65),"遅","")))))</f>
        <v/>
      </c>
      <c r="AC65" s="93" t="str">
        <f>IF($BB65="","",IF(AC$6=$BJ65,"◆",IF(AND(AC$6&gt;=$BF65,AC$6&lt;=$BG65),IF(AND(AC$6&gt;=$BD65,AC$6&lt;=$BE65),"実","外"),IF(AND(AC$6&gt;=$BD65,AC$6&lt;=$BE65),"計",IF(AND(AC$6&gt;=$BH65,AC$6&lt;=$BI65),"遅","")))))</f>
        <v/>
      </c>
      <c r="AD65" s="93" t="str">
        <f>IF($BB65="","",IF(AD$6=$BJ65,"◆",IF(AND(AD$6&gt;=$BF65,AD$6&lt;=$BG65),IF(AND(AD$6&gt;=$BD65,AD$6&lt;=$BE65),"実","外"),IF(AND(AD$6&gt;=$BD65,AD$6&lt;=$BE65),"計",IF(AND(AD$6&gt;=$BH65,AD$6&lt;=$BI65),"遅","")))))</f>
        <v/>
      </c>
      <c r="AE65" s="93" t="str">
        <f>IF($BB65="","",IF(AE$6=$BJ65,"◆",IF(AND(AE$6&gt;=$BF65,AE$6&lt;=$BG65),IF(AND(AE$6&gt;=$BD65,AE$6&lt;=$BE65),"実","外"),IF(AND(AE$6&gt;=$BD65,AE$6&lt;=$BE65),"計",IF(AND(AE$6&gt;=$BH65,AE$6&lt;=$BI65),"遅","")))))</f>
        <v/>
      </c>
      <c r="AF65" s="93" t="str">
        <f>IF($BB65="","",IF(AF$6=$BJ65,"◆",IF(AND(AF$6&gt;=$BF65,AF$6&lt;=$BG65),IF(AND(AF$6&gt;=$BD65,AF$6&lt;=$BE65),"実","外"),IF(AND(AF$6&gt;=$BD65,AF$6&lt;=$BE65),"計",IF(AND(AF$6&gt;=$BH65,AF$6&lt;=$BI65),"遅","")))))</f>
        <v/>
      </c>
      <c r="AG65" s="93" t="str">
        <f>IF($BB65="","",IF(AG$6=$BJ65,"◆",IF(AND(AG$6&gt;=$BF65,AG$6&lt;=$BG65),IF(AND(AG$6&gt;=$BD65,AG$6&lt;=$BE65),"実","外"),IF(AND(AG$6&gt;=$BD65,AG$6&lt;=$BE65),"計",IF(AND(AG$6&gt;=$BH65,AG$6&lt;=$BI65),"遅","")))))</f>
        <v/>
      </c>
      <c r="AH65" s="93" t="str">
        <f>IF($BB65="","",IF(AH$6=$BJ65,"◆",IF(AND(AH$6&gt;=$BF65,AH$6&lt;=$BG65),IF(AND(AH$6&gt;=$BD65,AH$6&lt;=$BE65),"実","外"),IF(AND(AH$6&gt;=$BD65,AH$6&lt;=$BE65),"計",IF(AND(AH$6&gt;=$BH65,AH$6&lt;=$BI65),"遅","")))))</f>
        <v/>
      </c>
      <c r="AI65" s="93" t="str">
        <f>IF($BB65="","",IF(AI$6=$BJ65,"◆",IF(AND(AI$6&gt;=$BF65,AI$6&lt;=$BG65),IF(AND(AI$6&gt;=$BD65,AI$6&lt;=$BE65),"実","外"),IF(AND(AI$6&gt;=$BD65,AI$6&lt;=$BE65),"計",IF(AND(AI$6&gt;=$BH65,AI$6&lt;=$BI65),"遅","")))))</f>
        <v/>
      </c>
      <c r="AJ65" s="93" t="str">
        <f>IF($BB65="","",IF(AJ$6=$BJ65,"◆",IF(AND(AJ$6&gt;=$BF65,AJ$6&lt;=$BG65),IF(AND(AJ$6&gt;=$BD65,AJ$6&lt;=$BE65),"実","外"),IF(AND(AJ$6&gt;=$BD65,AJ$6&lt;=$BE65),"計",IF(AND(AJ$6&gt;=$BH65,AJ$6&lt;=$BI65),"遅","")))))</f>
        <v/>
      </c>
      <c r="AK65" s="93" t="str">
        <f>IF($BB65="","",IF(AK$6=$BJ65,"◆",IF(AND(AK$6&gt;=$BF65,AK$6&lt;=$BG65),IF(AND(AK$6&gt;=$BD65,AK$6&lt;=$BE65),"実","外"),IF(AND(AK$6&gt;=$BD65,AK$6&lt;=$BE65),"計",IF(AND(AK$6&gt;=$BH65,AK$6&lt;=$BI65),"遅","")))))</f>
        <v/>
      </c>
      <c r="AL65" s="93" t="str">
        <f>IF($BB65="","",IF(AL$6=$BJ65,"◆",IF(AND(AL$6&gt;=$BF65,AL$6&lt;=$BG65),IF(AND(AL$6&gt;=$BD65,AL$6&lt;=$BE65),"実","外"),IF(AND(AL$6&gt;=$BD65,AL$6&lt;=$BE65),"計",IF(AND(AL$6&gt;=$BH65,AL$6&lt;=$BI65),"遅","")))))</f>
        <v/>
      </c>
      <c r="AM65" s="93" t="str">
        <f>IF($BB65="","",IF(AM$6=$BJ65,"◆",IF(AND(AM$6&gt;=$BF65,AM$6&lt;=$BG65),IF(AND(AM$6&gt;=$BD65,AM$6&lt;=$BE65),"実","外"),IF(AND(AM$6&gt;=$BD65,AM$6&lt;=$BE65),"計",IF(AND(AM$6&gt;=$BH65,AM$6&lt;=$BI65),"遅","")))))</f>
        <v/>
      </c>
      <c r="AN65" s="93" t="str">
        <f>IF($BB65="","",IF(AN$6=$BJ65,"◆",IF(AND(AN$6&gt;=$BF65,AN$6&lt;=$BG65),IF(AND(AN$6&gt;=$BD65,AN$6&lt;=$BE65),"実","外"),IF(AND(AN$6&gt;=$BD65,AN$6&lt;=$BE65),"計",IF(AND(AN$6&gt;=$BH65,AN$6&lt;=$BI65),"遅","")))))</f>
        <v/>
      </c>
      <c r="AO65" s="93" t="str">
        <f>IF($BB65="","",IF(AO$6=$BJ65,"◆",IF(AND(AO$6&gt;=$BF65,AO$6&lt;=$BG65),IF(AND(AO$6&gt;=$BD65,AO$6&lt;=$BE65),"実","外"),IF(AND(AO$6&gt;=$BD65,AO$6&lt;=$BE65),"計",IF(AND(AO$6&gt;=$BH65,AO$6&lt;=$BI65),"遅","")))))</f>
        <v/>
      </c>
      <c r="AP65" s="93" t="str">
        <f>IF($BB65="","",IF(AP$6=$BJ65,"◆",IF(AND(AP$6&gt;=$BF65,AP$6&lt;=$BG65),IF(AND(AP$6&gt;=$BD65,AP$6&lt;=$BE65),"実","外"),IF(AND(AP$6&gt;=$BD65,AP$6&lt;=$BE65),"計",IF(AND(AP$6&gt;=$BH65,AP$6&lt;=$BI65),"遅","")))))</f>
        <v/>
      </c>
      <c r="AQ65" s="93" t="str">
        <f>IF($BB65="","",IF(AQ$6=$BJ65,"◆",IF(AND(AQ$6&gt;=$BF65,AQ$6&lt;=$BG65),IF(AND(AQ$6&gt;=$BD65,AQ$6&lt;=$BE65),"実","外"),IF(AND(AQ$6&gt;=$BD65,AQ$6&lt;=$BE65),"計",IF(AND(AQ$6&gt;=$BH65,AQ$6&lt;=$BI65),"遅","")))))</f>
        <v/>
      </c>
      <c r="AR65" s="93" t="str">
        <f>IF($BB65="","",IF(AR$6=$BJ65,"◆",IF(AND(AR$6&gt;=$BF65,AR$6&lt;=$BG65),IF(AND(AR$6&gt;=$BD65,AR$6&lt;=$BE65),"実","外"),IF(AND(AR$6&gt;=$BD65,AR$6&lt;=$BE65),"計",IF(AND(AR$6&gt;=$BH65,AR$6&lt;=$BI65),"遅","")))))</f>
        <v/>
      </c>
      <c r="AS65" s="93" t="str">
        <f>IF($BB65="","",IF(AS$6=$BJ65,"◆",IF(AND(AS$6&gt;=$BF65,AS$6&lt;=$BG65),IF(AND(AS$6&gt;=$BD65,AS$6&lt;=$BE65),"実","外"),IF(AND(AS$6&gt;=$BD65,AS$6&lt;=$BE65),"計",IF(AND(AS$6&gt;=$BH65,AS$6&lt;=$BI65),"遅","")))))</f>
        <v/>
      </c>
      <c r="AT65" s="93" t="str">
        <f>IF($BB65="","",IF(AT$6=$BJ65,"◆",IF(AND(AT$6&gt;=$BF65,AT$6&lt;=$BG65),IF(AND(AT$6&gt;=$BD65,AT$6&lt;=$BE65),"実","外"),IF(AND(AT$6&gt;=$BD65,AT$6&lt;=$BE65),"計",IF(AND(AT$6&gt;=$BH65,AT$6&lt;=$BI65),"遅","")))))</f>
        <v/>
      </c>
      <c r="AU65" s="93" t="str">
        <f>IF($BB65="","",IF(AU$6=$BJ65,"◆",IF(AND(AU$6&gt;=$BF65,AU$6&lt;=$BG65),IF(AND(AU$6&gt;=$BD65,AU$6&lt;=$BE65),"実","外"),IF(AND(AU$6&gt;=$BD65,AU$6&lt;=$BE65),"計",IF(AND(AU$6&gt;=$BH65,AU$6&lt;=$BI65),"遅","")))))</f>
        <v/>
      </c>
      <c r="AV65" s="93" t="str">
        <f>IF($BB65="","",IF(AV$6=$BJ65,"◆",IF(AND(AV$6&gt;=$BF65,AV$6&lt;=$BG65),IF(AND(AV$6&gt;=$BD65,AV$6&lt;=$BE65),"実","外"),IF(AND(AV$6&gt;=$BD65,AV$6&lt;=$BE65),"計",IF(AND(AV$6&gt;=$BH65,AV$6&lt;=$BI65),"遅","")))))</f>
        <v/>
      </c>
      <c r="AW65" s="93" t="str">
        <f>IF($BB65="","",IF(AW$6=$BJ65,"◆",IF(AND(AW$6&gt;=$BF65,AW$6&lt;=$BG65),IF(AND(AW$6&gt;=$BD65,AW$6&lt;=$BE65),"実","外"),IF(AND(AW$6&gt;=$BD65,AW$6&lt;=$BE65),"計",IF(AND(AW$6&gt;=$BH65,AW$6&lt;=$BI65),"遅","")))))</f>
        <v/>
      </c>
      <c r="AX65" s="93" t="str">
        <f>IF($BB65="","",IF(AX$6=$BJ65,"◆",IF(AND(AX$6&gt;=$BF65,AX$6&lt;=$BG65),IF(AND(AX$6&gt;=$BD65,AX$6&lt;=$BE65),"実","外"),IF(AND(AX$6&gt;=$BD65,AX$6&lt;=$BE65),"計",IF(AND(AX$6&gt;=$BH65,AX$6&lt;=$BI65),"遅","")))))</f>
        <v/>
      </c>
      <c r="AY65" s="93" t="str">
        <f>IF($BB65="","",IF(AY$6=$BJ65,"◆",IF(AND(AY$6&gt;=$BF65,AY$6&lt;=$BG65),IF(AND(AY$6&gt;=$BD65,AY$6&lt;=$BE65),"実","外"),IF(AND(AY$6&gt;=$BD65,AY$6&lt;=$BE65),"計",IF(AND(AY$6&gt;=$BH65,AY$6&lt;=$BI65),"遅","")))))</f>
        <v/>
      </c>
      <c r="AZ65" s="93" t="str">
        <f>IF($BB65="","",IF(AZ$6=$BJ65,"◆",IF(AND(AZ$6&gt;=$BF65,AZ$6&lt;=$BG65),IF(AND(AZ$6&gt;=$BD65,AZ$6&lt;=$BE65),"実","外"),IF(AND(AZ$6&gt;=$BD65,AZ$6&lt;=$BE65),"計",IF(AND(AZ$6&gt;=$BH65,AZ$6&lt;=$BI65),"遅","")))))</f>
        <v/>
      </c>
      <c r="BB65" t="str">
        <f>IF(58&gt;COUNTIF(tblSteps[日別対象],1),"",IFERROR(MATCH(58,tblSteps[日別順位],0),""))</f>
        <v/>
      </c>
      <c r="BC65" t="str">
        <f>IF($BB65="","",INDEX(tblSteps[案件ID],$BB65)&amp;"")</f>
        <v/>
      </c>
      <c r="BD65" t="str">
        <f>IF($BB65="","",INDEX(tblSteps[計開],$BB65))</f>
        <v/>
      </c>
      <c r="BE65" t="str">
        <f>IF($BB65="","",INDEX(tblSteps[計終],$BB65))</f>
        <v/>
      </c>
      <c r="BF65" t="str">
        <f>IF($BB65="","",INDEX(tblSteps[実開],$BB65))</f>
        <v/>
      </c>
      <c r="BG65" t="str">
        <f>IF($BB65="","",INDEX(tblSteps[実終],$BB65))</f>
        <v/>
      </c>
      <c r="BH65" t="str">
        <f>IF($BB65="","",INDEX(tblSteps[遅開],$BB65))</f>
        <v/>
      </c>
      <c r="BI65" t="str">
        <f>IF($BB65="","",INDEX(tblSteps[遅終],$BB65))</f>
        <v/>
      </c>
      <c r="BJ65" t="str">
        <f>IF($BB65="","",INDEX(tblSteps[納期値],$BB65))</f>
        <v/>
      </c>
    </row>
    <row r="66" ht="18" customHeight="1">
      <c r="A66" s="89" t="str">
        <f>IF($BB66="","",INDEX(tblSteps[工程ID],$BB66)&amp;"")</f>
        <v/>
      </c>
      <c r="B66" s="88" t="str">
        <f>IF($BB66="","",IF($BC66=$BC65,"",$BC66&amp;" "&amp;INDEX(tblSteps[案件名],$BB66)))</f>
        <v/>
      </c>
      <c r="C66" s="88" t="str">
        <f>IF($BB66="","",INDEX(tblSteps[工程名],$BB66)&amp;"")</f>
        <v/>
      </c>
      <c r="D66" s="89" t="str">
        <f>IF($BB66="","",INDEX(tblSteps[担当],$BB66)&amp;"")</f>
        <v/>
      </c>
      <c r="E66" s="89" t="str">
        <f>IF($BB66="","",INDEX(tblSteps[状態],$BB66)&amp;"")</f>
        <v/>
      </c>
      <c r="F66" s="90" t="str">
        <f>IF($BB66="","",IF(ISNUMBER(INDEX(tblSteps[進捗率],$BB66)),INDEX(tblSteps[進捗率],$BB66),""))</f>
        <v/>
      </c>
      <c r="G66" s="91" t="str">
        <f>IF($BB66="","",IF(ISNUMBER(INDEX(tblSteps[計画開始日],$BB66)),INDEX(tblSteps[計画開始日],$BB66),"未入力"))</f>
        <v/>
      </c>
      <c r="H66" s="91" t="str">
        <f>IF($BB66="","",IF(ISNUMBER(INDEX(tblSteps[計画終了日],$BB66)),INDEX(tblSteps[計画終了日],$BB66),"未入力"))</f>
        <v/>
      </c>
      <c r="I66" s="91" t="str">
        <f>IF($BB66="","",IF(ISNUMBER(INDEX(tblSteps[完了見込日],$BB66)),INDEX(tblSteps[完了見込日],$BB66),""))</f>
        <v/>
      </c>
      <c r="J66" s="92" t="str">
        <f>IF($BB66="","",INDEX(tblSteps[注意短],$BB66)&amp;"")</f>
        <v/>
      </c>
      <c r="K66" s="93" t="str">
        <f>IF($BB66="","",IF(K$6=$BJ66,"◆",IF(AND(K$6&gt;=$BF66,K$6&lt;=$BG66),IF(AND(K$6&gt;=$BD66,K$6&lt;=$BE66),"実","外"),IF(AND(K$6&gt;=$BD66,K$6&lt;=$BE66),"計",IF(AND(K$6&gt;=$BH66,K$6&lt;=$BI66),"遅","")))))</f>
        <v/>
      </c>
      <c r="L66" s="93" t="str">
        <f>IF($BB66="","",IF(L$6=$BJ66,"◆",IF(AND(L$6&gt;=$BF66,L$6&lt;=$BG66),IF(AND(L$6&gt;=$BD66,L$6&lt;=$BE66),"実","外"),IF(AND(L$6&gt;=$BD66,L$6&lt;=$BE66),"計",IF(AND(L$6&gt;=$BH66,L$6&lt;=$BI66),"遅","")))))</f>
        <v/>
      </c>
      <c r="M66" s="93" t="str">
        <f>IF($BB66="","",IF(M$6=$BJ66,"◆",IF(AND(M$6&gt;=$BF66,M$6&lt;=$BG66),IF(AND(M$6&gt;=$BD66,M$6&lt;=$BE66),"実","外"),IF(AND(M$6&gt;=$BD66,M$6&lt;=$BE66),"計",IF(AND(M$6&gt;=$BH66,M$6&lt;=$BI66),"遅","")))))</f>
        <v/>
      </c>
      <c r="N66" s="93" t="str">
        <f>IF($BB66="","",IF(N$6=$BJ66,"◆",IF(AND(N$6&gt;=$BF66,N$6&lt;=$BG66),IF(AND(N$6&gt;=$BD66,N$6&lt;=$BE66),"実","外"),IF(AND(N$6&gt;=$BD66,N$6&lt;=$BE66),"計",IF(AND(N$6&gt;=$BH66,N$6&lt;=$BI66),"遅","")))))</f>
        <v/>
      </c>
      <c r="O66" s="93" t="str">
        <f>IF($BB66="","",IF(O$6=$BJ66,"◆",IF(AND(O$6&gt;=$BF66,O$6&lt;=$BG66),IF(AND(O$6&gt;=$BD66,O$6&lt;=$BE66),"実","外"),IF(AND(O$6&gt;=$BD66,O$6&lt;=$BE66),"計",IF(AND(O$6&gt;=$BH66,O$6&lt;=$BI66),"遅","")))))</f>
        <v/>
      </c>
      <c r="P66" s="93" t="str">
        <f>IF($BB66="","",IF(P$6=$BJ66,"◆",IF(AND(P$6&gt;=$BF66,P$6&lt;=$BG66),IF(AND(P$6&gt;=$BD66,P$6&lt;=$BE66),"実","外"),IF(AND(P$6&gt;=$BD66,P$6&lt;=$BE66),"計",IF(AND(P$6&gt;=$BH66,P$6&lt;=$BI66),"遅","")))))</f>
        <v/>
      </c>
      <c r="Q66" s="93" t="str">
        <f>IF($BB66="","",IF(Q$6=$BJ66,"◆",IF(AND(Q$6&gt;=$BF66,Q$6&lt;=$BG66),IF(AND(Q$6&gt;=$BD66,Q$6&lt;=$BE66),"実","外"),IF(AND(Q$6&gt;=$BD66,Q$6&lt;=$BE66),"計",IF(AND(Q$6&gt;=$BH66,Q$6&lt;=$BI66),"遅","")))))</f>
        <v/>
      </c>
      <c r="R66" s="93" t="str">
        <f>IF($BB66="","",IF(R$6=$BJ66,"◆",IF(AND(R$6&gt;=$BF66,R$6&lt;=$BG66),IF(AND(R$6&gt;=$BD66,R$6&lt;=$BE66),"実","外"),IF(AND(R$6&gt;=$BD66,R$6&lt;=$BE66),"計",IF(AND(R$6&gt;=$BH66,R$6&lt;=$BI66),"遅","")))))</f>
        <v/>
      </c>
      <c r="S66" s="93" t="str">
        <f>IF($BB66="","",IF(S$6=$BJ66,"◆",IF(AND(S$6&gt;=$BF66,S$6&lt;=$BG66),IF(AND(S$6&gt;=$BD66,S$6&lt;=$BE66),"実","外"),IF(AND(S$6&gt;=$BD66,S$6&lt;=$BE66),"計",IF(AND(S$6&gt;=$BH66,S$6&lt;=$BI66),"遅","")))))</f>
        <v/>
      </c>
      <c r="T66" s="93" t="str">
        <f>IF($BB66="","",IF(T$6=$BJ66,"◆",IF(AND(T$6&gt;=$BF66,T$6&lt;=$BG66),IF(AND(T$6&gt;=$BD66,T$6&lt;=$BE66),"実","外"),IF(AND(T$6&gt;=$BD66,T$6&lt;=$BE66),"計",IF(AND(T$6&gt;=$BH66,T$6&lt;=$BI66),"遅","")))))</f>
        <v/>
      </c>
      <c r="U66" s="93" t="str">
        <f>IF($BB66="","",IF(U$6=$BJ66,"◆",IF(AND(U$6&gt;=$BF66,U$6&lt;=$BG66),IF(AND(U$6&gt;=$BD66,U$6&lt;=$BE66),"実","外"),IF(AND(U$6&gt;=$BD66,U$6&lt;=$BE66),"計",IF(AND(U$6&gt;=$BH66,U$6&lt;=$BI66),"遅","")))))</f>
        <v/>
      </c>
      <c r="V66" s="93" t="str">
        <f>IF($BB66="","",IF(V$6=$BJ66,"◆",IF(AND(V$6&gt;=$BF66,V$6&lt;=$BG66),IF(AND(V$6&gt;=$BD66,V$6&lt;=$BE66),"実","外"),IF(AND(V$6&gt;=$BD66,V$6&lt;=$BE66),"計",IF(AND(V$6&gt;=$BH66,V$6&lt;=$BI66),"遅","")))))</f>
        <v/>
      </c>
      <c r="W66" s="93" t="str">
        <f>IF($BB66="","",IF(W$6=$BJ66,"◆",IF(AND(W$6&gt;=$BF66,W$6&lt;=$BG66),IF(AND(W$6&gt;=$BD66,W$6&lt;=$BE66),"実","外"),IF(AND(W$6&gt;=$BD66,W$6&lt;=$BE66),"計",IF(AND(W$6&gt;=$BH66,W$6&lt;=$BI66),"遅","")))))</f>
        <v/>
      </c>
      <c r="X66" s="93" t="str">
        <f>IF($BB66="","",IF(X$6=$BJ66,"◆",IF(AND(X$6&gt;=$BF66,X$6&lt;=$BG66),IF(AND(X$6&gt;=$BD66,X$6&lt;=$BE66),"実","外"),IF(AND(X$6&gt;=$BD66,X$6&lt;=$BE66),"計",IF(AND(X$6&gt;=$BH66,X$6&lt;=$BI66),"遅","")))))</f>
        <v/>
      </c>
      <c r="Y66" s="93" t="str">
        <f>IF($BB66="","",IF(Y$6=$BJ66,"◆",IF(AND(Y$6&gt;=$BF66,Y$6&lt;=$BG66),IF(AND(Y$6&gt;=$BD66,Y$6&lt;=$BE66),"実","外"),IF(AND(Y$6&gt;=$BD66,Y$6&lt;=$BE66),"計",IF(AND(Y$6&gt;=$BH66,Y$6&lt;=$BI66),"遅","")))))</f>
        <v/>
      </c>
      <c r="Z66" s="93" t="str">
        <f>IF($BB66="","",IF(Z$6=$BJ66,"◆",IF(AND(Z$6&gt;=$BF66,Z$6&lt;=$BG66),IF(AND(Z$6&gt;=$BD66,Z$6&lt;=$BE66),"実","外"),IF(AND(Z$6&gt;=$BD66,Z$6&lt;=$BE66),"計",IF(AND(Z$6&gt;=$BH66,Z$6&lt;=$BI66),"遅","")))))</f>
        <v/>
      </c>
      <c r="AA66" s="93" t="str">
        <f>IF($BB66="","",IF(AA$6=$BJ66,"◆",IF(AND(AA$6&gt;=$BF66,AA$6&lt;=$BG66),IF(AND(AA$6&gt;=$BD66,AA$6&lt;=$BE66),"実","外"),IF(AND(AA$6&gt;=$BD66,AA$6&lt;=$BE66),"計",IF(AND(AA$6&gt;=$BH66,AA$6&lt;=$BI66),"遅","")))))</f>
        <v/>
      </c>
      <c r="AB66" s="93" t="str">
        <f>IF($BB66="","",IF(AB$6=$BJ66,"◆",IF(AND(AB$6&gt;=$BF66,AB$6&lt;=$BG66),IF(AND(AB$6&gt;=$BD66,AB$6&lt;=$BE66),"実","外"),IF(AND(AB$6&gt;=$BD66,AB$6&lt;=$BE66),"計",IF(AND(AB$6&gt;=$BH66,AB$6&lt;=$BI66),"遅","")))))</f>
        <v/>
      </c>
      <c r="AC66" s="93" t="str">
        <f>IF($BB66="","",IF(AC$6=$BJ66,"◆",IF(AND(AC$6&gt;=$BF66,AC$6&lt;=$BG66),IF(AND(AC$6&gt;=$BD66,AC$6&lt;=$BE66),"実","外"),IF(AND(AC$6&gt;=$BD66,AC$6&lt;=$BE66),"計",IF(AND(AC$6&gt;=$BH66,AC$6&lt;=$BI66),"遅","")))))</f>
        <v/>
      </c>
      <c r="AD66" s="93" t="str">
        <f>IF($BB66="","",IF(AD$6=$BJ66,"◆",IF(AND(AD$6&gt;=$BF66,AD$6&lt;=$BG66),IF(AND(AD$6&gt;=$BD66,AD$6&lt;=$BE66),"実","外"),IF(AND(AD$6&gt;=$BD66,AD$6&lt;=$BE66),"計",IF(AND(AD$6&gt;=$BH66,AD$6&lt;=$BI66),"遅","")))))</f>
        <v/>
      </c>
      <c r="AE66" s="93" t="str">
        <f>IF($BB66="","",IF(AE$6=$BJ66,"◆",IF(AND(AE$6&gt;=$BF66,AE$6&lt;=$BG66),IF(AND(AE$6&gt;=$BD66,AE$6&lt;=$BE66),"実","外"),IF(AND(AE$6&gt;=$BD66,AE$6&lt;=$BE66),"計",IF(AND(AE$6&gt;=$BH66,AE$6&lt;=$BI66),"遅","")))))</f>
        <v/>
      </c>
      <c r="AF66" s="93" t="str">
        <f>IF($BB66="","",IF(AF$6=$BJ66,"◆",IF(AND(AF$6&gt;=$BF66,AF$6&lt;=$BG66),IF(AND(AF$6&gt;=$BD66,AF$6&lt;=$BE66),"実","外"),IF(AND(AF$6&gt;=$BD66,AF$6&lt;=$BE66),"計",IF(AND(AF$6&gt;=$BH66,AF$6&lt;=$BI66),"遅","")))))</f>
        <v/>
      </c>
      <c r="AG66" s="93" t="str">
        <f>IF($BB66="","",IF(AG$6=$BJ66,"◆",IF(AND(AG$6&gt;=$BF66,AG$6&lt;=$BG66),IF(AND(AG$6&gt;=$BD66,AG$6&lt;=$BE66),"実","外"),IF(AND(AG$6&gt;=$BD66,AG$6&lt;=$BE66),"計",IF(AND(AG$6&gt;=$BH66,AG$6&lt;=$BI66),"遅","")))))</f>
        <v/>
      </c>
      <c r="AH66" s="93" t="str">
        <f>IF($BB66="","",IF(AH$6=$BJ66,"◆",IF(AND(AH$6&gt;=$BF66,AH$6&lt;=$BG66),IF(AND(AH$6&gt;=$BD66,AH$6&lt;=$BE66),"実","外"),IF(AND(AH$6&gt;=$BD66,AH$6&lt;=$BE66),"計",IF(AND(AH$6&gt;=$BH66,AH$6&lt;=$BI66),"遅","")))))</f>
        <v/>
      </c>
      <c r="AI66" s="93" t="str">
        <f>IF($BB66="","",IF(AI$6=$BJ66,"◆",IF(AND(AI$6&gt;=$BF66,AI$6&lt;=$BG66),IF(AND(AI$6&gt;=$BD66,AI$6&lt;=$BE66),"実","外"),IF(AND(AI$6&gt;=$BD66,AI$6&lt;=$BE66),"計",IF(AND(AI$6&gt;=$BH66,AI$6&lt;=$BI66),"遅","")))))</f>
        <v/>
      </c>
      <c r="AJ66" s="93" t="str">
        <f>IF($BB66="","",IF(AJ$6=$BJ66,"◆",IF(AND(AJ$6&gt;=$BF66,AJ$6&lt;=$BG66),IF(AND(AJ$6&gt;=$BD66,AJ$6&lt;=$BE66),"実","外"),IF(AND(AJ$6&gt;=$BD66,AJ$6&lt;=$BE66),"計",IF(AND(AJ$6&gt;=$BH66,AJ$6&lt;=$BI66),"遅","")))))</f>
        <v/>
      </c>
      <c r="AK66" s="93" t="str">
        <f>IF($BB66="","",IF(AK$6=$BJ66,"◆",IF(AND(AK$6&gt;=$BF66,AK$6&lt;=$BG66),IF(AND(AK$6&gt;=$BD66,AK$6&lt;=$BE66),"実","外"),IF(AND(AK$6&gt;=$BD66,AK$6&lt;=$BE66),"計",IF(AND(AK$6&gt;=$BH66,AK$6&lt;=$BI66),"遅","")))))</f>
        <v/>
      </c>
      <c r="AL66" s="93" t="str">
        <f>IF($BB66="","",IF(AL$6=$BJ66,"◆",IF(AND(AL$6&gt;=$BF66,AL$6&lt;=$BG66),IF(AND(AL$6&gt;=$BD66,AL$6&lt;=$BE66),"実","外"),IF(AND(AL$6&gt;=$BD66,AL$6&lt;=$BE66),"計",IF(AND(AL$6&gt;=$BH66,AL$6&lt;=$BI66),"遅","")))))</f>
        <v/>
      </c>
      <c r="AM66" s="93" t="str">
        <f>IF($BB66="","",IF(AM$6=$BJ66,"◆",IF(AND(AM$6&gt;=$BF66,AM$6&lt;=$BG66),IF(AND(AM$6&gt;=$BD66,AM$6&lt;=$BE66),"実","外"),IF(AND(AM$6&gt;=$BD66,AM$6&lt;=$BE66),"計",IF(AND(AM$6&gt;=$BH66,AM$6&lt;=$BI66),"遅","")))))</f>
        <v/>
      </c>
      <c r="AN66" s="93" t="str">
        <f>IF($BB66="","",IF(AN$6=$BJ66,"◆",IF(AND(AN$6&gt;=$BF66,AN$6&lt;=$BG66),IF(AND(AN$6&gt;=$BD66,AN$6&lt;=$BE66),"実","外"),IF(AND(AN$6&gt;=$BD66,AN$6&lt;=$BE66),"計",IF(AND(AN$6&gt;=$BH66,AN$6&lt;=$BI66),"遅","")))))</f>
        <v/>
      </c>
      <c r="AO66" s="93" t="str">
        <f>IF($BB66="","",IF(AO$6=$BJ66,"◆",IF(AND(AO$6&gt;=$BF66,AO$6&lt;=$BG66),IF(AND(AO$6&gt;=$BD66,AO$6&lt;=$BE66),"実","外"),IF(AND(AO$6&gt;=$BD66,AO$6&lt;=$BE66),"計",IF(AND(AO$6&gt;=$BH66,AO$6&lt;=$BI66),"遅","")))))</f>
        <v/>
      </c>
      <c r="AP66" s="93" t="str">
        <f>IF($BB66="","",IF(AP$6=$BJ66,"◆",IF(AND(AP$6&gt;=$BF66,AP$6&lt;=$BG66),IF(AND(AP$6&gt;=$BD66,AP$6&lt;=$BE66),"実","外"),IF(AND(AP$6&gt;=$BD66,AP$6&lt;=$BE66),"計",IF(AND(AP$6&gt;=$BH66,AP$6&lt;=$BI66),"遅","")))))</f>
        <v/>
      </c>
      <c r="AQ66" s="93" t="str">
        <f>IF($BB66="","",IF(AQ$6=$BJ66,"◆",IF(AND(AQ$6&gt;=$BF66,AQ$6&lt;=$BG66),IF(AND(AQ$6&gt;=$BD66,AQ$6&lt;=$BE66),"実","外"),IF(AND(AQ$6&gt;=$BD66,AQ$6&lt;=$BE66),"計",IF(AND(AQ$6&gt;=$BH66,AQ$6&lt;=$BI66),"遅","")))))</f>
        <v/>
      </c>
      <c r="AR66" s="93" t="str">
        <f>IF($BB66="","",IF(AR$6=$BJ66,"◆",IF(AND(AR$6&gt;=$BF66,AR$6&lt;=$BG66),IF(AND(AR$6&gt;=$BD66,AR$6&lt;=$BE66),"実","外"),IF(AND(AR$6&gt;=$BD66,AR$6&lt;=$BE66),"計",IF(AND(AR$6&gt;=$BH66,AR$6&lt;=$BI66),"遅","")))))</f>
        <v/>
      </c>
      <c r="AS66" s="93" t="str">
        <f>IF($BB66="","",IF(AS$6=$BJ66,"◆",IF(AND(AS$6&gt;=$BF66,AS$6&lt;=$BG66),IF(AND(AS$6&gt;=$BD66,AS$6&lt;=$BE66),"実","外"),IF(AND(AS$6&gt;=$BD66,AS$6&lt;=$BE66),"計",IF(AND(AS$6&gt;=$BH66,AS$6&lt;=$BI66),"遅","")))))</f>
        <v/>
      </c>
      <c r="AT66" s="93" t="str">
        <f>IF($BB66="","",IF(AT$6=$BJ66,"◆",IF(AND(AT$6&gt;=$BF66,AT$6&lt;=$BG66),IF(AND(AT$6&gt;=$BD66,AT$6&lt;=$BE66),"実","外"),IF(AND(AT$6&gt;=$BD66,AT$6&lt;=$BE66),"計",IF(AND(AT$6&gt;=$BH66,AT$6&lt;=$BI66),"遅","")))))</f>
        <v/>
      </c>
      <c r="AU66" s="93" t="str">
        <f>IF($BB66="","",IF(AU$6=$BJ66,"◆",IF(AND(AU$6&gt;=$BF66,AU$6&lt;=$BG66),IF(AND(AU$6&gt;=$BD66,AU$6&lt;=$BE66),"実","外"),IF(AND(AU$6&gt;=$BD66,AU$6&lt;=$BE66),"計",IF(AND(AU$6&gt;=$BH66,AU$6&lt;=$BI66),"遅","")))))</f>
        <v/>
      </c>
      <c r="AV66" s="93" t="str">
        <f>IF($BB66="","",IF(AV$6=$BJ66,"◆",IF(AND(AV$6&gt;=$BF66,AV$6&lt;=$BG66),IF(AND(AV$6&gt;=$BD66,AV$6&lt;=$BE66),"実","外"),IF(AND(AV$6&gt;=$BD66,AV$6&lt;=$BE66),"計",IF(AND(AV$6&gt;=$BH66,AV$6&lt;=$BI66),"遅","")))))</f>
        <v/>
      </c>
      <c r="AW66" s="93" t="str">
        <f>IF($BB66="","",IF(AW$6=$BJ66,"◆",IF(AND(AW$6&gt;=$BF66,AW$6&lt;=$BG66),IF(AND(AW$6&gt;=$BD66,AW$6&lt;=$BE66),"実","外"),IF(AND(AW$6&gt;=$BD66,AW$6&lt;=$BE66),"計",IF(AND(AW$6&gt;=$BH66,AW$6&lt;=$BI66),"遅","")))))</f>
        <v/>
      </c>
      <c r="AX66" s="93" t="str">
        <f>IF($BB66="","",IF(AX$6=$BJ66,"◆",IF(AND(AX$6&gt;=$BF66,AX$6&lt;=$BG66),IF(AND(AX$6&gt;=$BD66,AX$6&lt;=$BE66),"実","外"),IF(AND(AX$6&gt;=$BD66,AX$6&lt;=$BE66),"計",IF(AND(AX$6&gt;=$BH66,AX$6&lt;=$BI66),"遅","")))))</f>
        <v/>
      </c>
      <c r="AY66" s="93" t="str">
        <f>IF($BB66="","",IF(AY$6=$BJ66,"◆",IF(AND(AY$6&gt;=$BF66,AY$6&lt;=$BG66),IF(AND(AY$6&gt;=$BD66,AY$6&lt;=$BE66),"実","外"),IF(AND(AY$6&gt;=$BD66,AY$6&lt;=$BE66),"計",IF(AND(AY$6&gt;=$BH66,AY$6&lt;=$BI66),"遅","")))))</f>
        <v/>
      </c>
      <c r="AZ66" s="93" t="str">
        <f>IF($BB66="","",IF(AZ$6=$BJ66,"◆",IF(AND(AZ$6&gt;=$BF66,AZ$6&lt;=$BG66),IF(AND(AZ$6&gt;=$BD66,AZ$6&lt;=$BE66),"実","外"),IF(AND(AZ$6&gt;=$BD66,AZ$6&lt;=$BE66),"計",IF(AND(AZ$6&gt;=$BH66,AZ$6&lt;=$BI66),"遅","")))))</f>
        <v/>
      </c>
      <c r="BB66" t="str">
        <f>IF(59&gt;COUNTIF(tblSteps[日別対象],1),"",IFERROR(MATCH(59,tblSteps[日別順位],0),""))</f>
        <v/>
      </c>
      <c r="BC66" t="str">
        <f>IF($BB66="","",INDEX(tblSteps[案件ID],$BB66)&amp;"")</f>
        <v/>
      </c>
      <c r="BD66" t="str">
        <f>IF($BB66="","",INDEX(tblSteps[計開],$BB66))</f>
        <v/>
      </c>
      <c r="BE66" t="str">
        <f>IF($BB66="","",INDEX(tblSteps[計終],$BB66))</f>
        <v/>
      </c>
      <c r="BF66" t="str">
        <f>IF($BB66="","",INDEX(tblSteps[実開],$BB66))</f>
        <v/>
      </c>
      <c r="BG66" t="str">
        <f>IF($BB66="","",INDEX(tblSteps[実終],$BB66))</f>
        <v/>
      </c>
      <c r="BH66" t="str">
        <f>IF($BB66="","",INDEX(tblSteps[遅開],$BB66))</f>
        <v/>
      </c>
      <c r="BI66" t="str">
        <f>IF($BB66="","",INDEX(tblSteps[遅終],$BB66))</f>
        <v/>
      </c>
      <c r="BJ66" t="str">
        <f>IF($BB66="","",INDEX(tblSteps[納期値],$BB66))</f>
        <v/>
      </c>
    </row>
    <row r="67" ht="18" customHeight="1">
      <c r="A67" s="89" t="str">
        <f>IF($BB67="","",INDEX(tblSteps[工程ID],$BB67)&amp;"")</f>
        <v/>
      </c>
      <c r="B67" s="88" t="str">
        <f>IF($BB67="","",IF($BC67=$BC66,"",$BC67&amp;" "&amp;INDEX(tblSteps[案件名],$BB67)))</f>
        <v/>
      </c>
      <c r="C67" s="88" t="str">
        <f>IF($BB67="","",INDEX(tblSteps[工程名],$BB67)&amp;"")</f>
        <v/>
      </c>
      <c r="D67" s="89" t="str">
        <f>IF($BB67="","",INDEX(tblSteps[担当],$BB67)&amp;"")</f>
        <v/>
      </c>
      <c r="E67" s="89" t="str">
        <f>IF($BB67="","",INDEX(tblSteps[状態],$BB67)&amp;"")</f>
        <v/>
      </c>
      <c r="F67" s="90" t="str">
        <f>IF($BB67="","",IF(ISNUMBER(INDEX(tblSteps[進捗率],$BB67)),INDEX(tblSteps[進捗率],$BB67),""))</f>
        <v/>
      </c>
      <c r="G67" s="91" t="str">
        <f>IF($BB67="","",IF(ISNUMBER(INDEX(tblSteps[計画開始日],$BB67)),INDEX(tblSteps[計画開始日],$BB67),"未入力"))</f>
        <v/>
      </c>
      <c r="H67" s="91" t="str">
        <f>IF($BB67="","",IF(ISNUMBER(INDEX(tblSteps[計画終了日],$BB67)),INDEX(tblSteps[計画終了日],$BB67),"未入力"))</f>
        <v/>
      </c>
      <c r="I67" s="91" t="str">
        <f>IF($BB67="","",IF(ISNUMBER(INDEX(tblSteps[完了見込日],$BB67)),INDEX(tblSteps[完了見込日],$BB67),""))</f>
        <v/>
      </c>
      <c r="J67" s="92" t="str">
        <f>IF($BB67="","",INDEX(tblSteps[注意短],$BB67)&amp;"")</f>
        <v/>
      </c>
      <c r="K67" s="93" t="str">
        <f>IF($BB67="","",IF(K$6=$BJ67,"◆",IF(AND(K$6&gt;=$BF67,K$6&lt;=$BG67),IF(AND(K$6&gt;=$BD67,K$6&lt;=$BE67),"実","外"),IF(AND(K$6&gt;=$BD67,K$6&lt;=$BE67),"計",IF(AND(K$6&gt;=$BH67,K$6&lt;=$BI67),"遅","")))))</f>
        <v/>
      </c>
      <c r="L67" s="93" t="str">
        <f>IF($BB67="","",IF(L$6=$BJ67,"◆",IF(AND(L$6&gt;=$BF67,L$6&lt;=$BG67),IF(AND(L$6&gt;=$BD67,L$6&lt;=$BE67),"実","外"),IF(AND(L$6&gt;=$BD67,L$6&lt;=$BE67),"計",IF(AND(L$6&gt;=$BH67,L$6&lt;=$BI67),"遅","")))))</f>
        <v/>
      </c>
      <c r="M67" s="93" t="str">
        <f>IF($BB67="","",IF(M$6=$BJ67,"◆",IF(AND(M$6&gt;=$BF67,M$6&lt;=$BG67),IF(AND(M$6&gt;=$BD67,M$6&lt;=$BE67),"実","外"),IF(AND(M$6&gt;=$BD67,M$6&lt;=$BE67),"計",IF(AND(M$6&gt;=$BH67,M$6&lt;=$BI67),"遅","")))))</f>
        <v/>
      </c>
      <c r="N67" s="93" t="str">
        <f>IF($BB67="","",IF(N$6=$BJ67,"◆",IF(AND(N$6&gt;=$BF67,N$6&lt;=$BG67),IF(AND(N$6&gt;=$BD67,N$6&lt;=$BE67),"実","外"),IF(AND(N$6&gt;=$BD67,N$6&lt;=$BE67),"計",IF(AND(N$6&gt;=$BH67,N$6&lt;=$BI67),"遅","")))))</f>
        <v/>
      </c>
      <c r="O67" s="93" t="str">
        <f>IF($BB67="","",IF(O$6=$BJ67,"◆",IF(AND(O$6&gt;=$BF67,O$6&lt;=$BG67),IF(AND(O$6&gt;=$BD67,O$6&lt;=$BE67),"実","外"),IF(AND(O$6&gt;=$BD67,O$6&lt;=$BE67),"計",IF(AND(O$6&gt;=$BH67,O$6&lt;=$BI67),"遅","")))))</f>
        <v/>
      </c>
      <c r="P67" s="93" t="str">
        <f>IF($BB67="","",IF(P$6=$BJ67,"◆",IF(AND(P$6&gt;=$BF67,P$6&lt;=$BG67),IF(AND(P$6&gt;=$BD67,P$6&lt;=$BE67),"実","外"),IF(AND(P$6&gt;=$BD67,P$6&lt;=$BE67),"計",IF(AND(P$6&gt;=$BH67,P$6&lt;=$BI67),"遅","")))))</f>
        <v/>
      </c>
      <c r="Q67" s="93" t="str">
        <f>IF($BB67="","",IF(Q$6=$BJ67,"◆",IF(AND(Q$6&gt;=$BF67,Q$6&lt;=$BG67),IF(AND(Q$6&gt;=$BD67,Q$6&lt;=$BE67),"実","外"),IF(AND(Q$6&gt;=$BD67,Q$6&lt;=$BE67),"計",IF(AND(Q$6&gt;=$BH67,Q$6&lt;=$BI67),"遅","")))))</f>
        <v/>
      </c>
      <c r="R67" s="93" t="str">
        <f>IF($BB67="","",IF(R$6=$BJ67,"◆",IF(AND(R$6&gt;=$BF67,R$6&lt;=$BG67),IF(AND(R$6&gt;=$BD67,R$6&lt;=$BE67),"実","外"),IF(AND(R$6&gt;=$BD67,R$6&lt;=$BE67),"計",IF(AND(R$6&gt;=$BH67,R$6&lt;=$BI67),"遅","")))))</f>
        <v/>
      </c>
      <c r="S67" s="93" t="str">
        <f>IF($BB67="","",IF(S$6=$BJ67,"◆",IF(AND(S$6&gt;=$BF67,S$6&lt;=$BG67),IF(AND(S$6&gt;=$BD67,S$6&lt;=$BE67),"実","外"),IF(AND(S$6&gt;=$BD67,S$6&lt;=$BE67),"計",IF(AND(S$6&gt;=$BH67,S$6&lt;=$BI67),"遅","")))))</f>
        <v/>
      </c>
      <c r="T67" s="93" t="str">
        <f>IF($BB67="","",IF(T$6=$BJ67,"◆",IF(AND(T$6&gt;=$BF67,T$6&lt;=$BG67),IF(AND(T$6&gt;=$BD67,T$6&lt;=$BE67),"実","外"),IF(AND(T$6&gt;=$BD67,T$6&lt;=$BE67),"計",IF(AND(T$6&gt;=$BH67,T$6&lt;=$BI67),"遅","")))))</f>
        <v/>
      </c>
      <c r="U67" s="93" t="str">
        <f>IF($BB67="","",IF(U$6=$BJ67,"◆",IF(AND(U$6&gt;=$BF67,U$6&lt;=$BG67),IF(AND(U$6&gt;=$BD67,U$6&lt;=$BE67),"実","外"),IF(AND(U$6&gt;=$BD67,U$6&lt;=$BE67),"計",IF(AND(U$6&gt;=$BH67,U$6&lt;=$BI67),"遅","")))))</f>
        <v/>
      </c>
      <c r="V67" s="93" t="str">
        <f>IF($BB67="","",IF(V$6=$BJ67,"◆",IF(AND(V$6&gt;=$BF67,V$6&lt;=$BG67),IF(AND(V$6&gt;=$BD67,V$6&lt;=$BE67),"実","外"),IF(AND(V$6&gt;=$BD67,V$6&lt;=$BE67),"計",IF(AND(V$6&gt;=$BH67,V$6&lt;=$BI67),"遅","")))))</f>
        <v/>
      </c>
      <c r="W67" s="93" t="str">
        <f>IF($BB67="","",IF(W$6=$BJ67,"◆",IF(AND(W$6&gt;=$BF67,W$6&lt;=$BG67),IF(AND(W$6&gt;=$BD67,W$6&lt;=$BE67),"実","外"),IF(AND(W$6&gt;=$BD67,W$6&lt;=$BE67),"計",IF(AND(W$6&gt;=$BH67,W$6&lt;=$BI67),"遅","")))))</f>
        <v/>
      </c>
      <c r="X67" s="93" t="str">
        <f>IF($BB67="","",IF(X$6=$BJ67,"◆",IF(AND(X$6&gt;=$BF67,X$6&lt;=$BG67),IF(AND(X$6&gt;=$BD67,X$6&lt;=$BE67),"実","外"),IF(AND(X$6&gt;=$BD67,X$6&lt;=$BE67),"計",IF(AND(X$6&gt;=$BH67,X$6&lt;=$BI67),"遅","")))))</f>
        <v/>
      </c>
      <c r="Y67" s="93" t="str">
        <f>IF($BB67="","",IF(Y$6=$BJ67,"◆",IF(AND(Y$6&gt;=$BF67,Y$6&lt;=$BG67),IF(AND(Y$6&gt;=$BD67,Y$6&lt;=$BE67),"実","外"),IF(AND(Y$6&gt;=$BD67,Y$6&lt;=$BE67),"計",IF(AND(Y$6&gt;=$BH67,Y$6&lt;=$BI67),"遅","")))))</f>
        <v/>
      </c>
      <c r="Z67" s="93" t="str">
        <f>IF($BB67="","",IF(Z$6=$BJ67,"◆",IF(AND(Z$6&gt;=$BF67,Z$6&lt;=$BG67),IF(AND(Z$6&gt;=$BD67,Z$6&lt;=$BE67),"実","外"),IF(AND(Z$6&gt;=$BD67,Z$6&lt;=$BE67),"計",IF(AND(Z$6&gt;=$BH67,Z$6&lt;=$BI67),"遅","")))))</f>
        <v/>
      </c>
      <c r="AA67" s="93" t="str">
        <f>IF($BB67="","",IF(AA$6=$BJ67,"◆",IF(AND(AA$6&gt;=$BF67,AA$6&lt;=$BG67),IF(AND(AA$6&gt;=$BD67,AA$6&lt;=$BE67),"実","外"),IF(AND(AA$6&gt;=$BD67,AA$6&lt;=$BE67),"計",IF(AND(AA$6&gt;=$BH67,AA$6&lt;=$BI67),"遅","")))))</f>
        <v/>
      </c>
      <c r="AB67" s="93" t="str">
        <f>IF($BB67="","",IF(AB$6=$BJ67,"◆",IF(AND(AB$6&gt;=$BF67,AB$6&lt;=$BG67),IF(AND(AB$6&gt;=$BD67,AB$6&lt;=$BE67),"実","外"),IF(AND(AB$6&gt;=$BD67,AB$6&lt;=$BE67),"計",IF(AND(AB$6&gt;=$BH67,AB$6&lt;=$BI67),"遅","")))))</f>
        <v/>
      </c>
      <c r="AC67" s="93" t="str">
        <f>IF($BB67="","",IF(AC$6=$BJ67,"◆",IF(AND(AC$6&gt;=$BF67,AC$6&lt;=$BG67),IF(AND(AC$6&gt;=$BD67,AC$6&lt;=$BE67),"実","外"),IF(AND(AC$6&gt;=$BD67,AC$6&lt;=$BE67),"計",IF(AND(AC$6&gt;=$BH67,AC$6&lt;=$BI67),"遅","")))))</f>
        <v/>
      </c>
      <c r="AD67" s="93" t="str">
        <f>IF($BB67="","",IF(AD$6=$BJ67,"◆",IF(AND(AD$6&gt;=$BF67,AD$6&lt;=$BG67),IF(AND(AD$6&gt;=$BD67,AD$6&lt;=$BE67),"実","外"),IF(AND(AD$6&gt;=$BD67,AD$6&lt;=$BE67),"計",IF(AND(AD$6&gt;=$BH67,AD$6&lt;=$BI67),"遅","")))))</f>
        <v/>
      </c>
      <c r="AE67" s="93" t="str">
        <f>IF($BB67="","",IF(AE$6=$BJ67,"◆",IF(AND(AE$6&gt;=$BF67,AE$6&lt;=$BG67),IF(AND(AE$6&gt;=$BD67,AE$6&lt;=$BE67),"実","外"),IF(AND(AE$6&gt;=$BD67,AE$6&lt;=$BE67),"計",IF(AND(AE$6&gt;=$BH67,AE$6&lt;=$BI67),"遅","")))))</f>
        <v/>
      </c>
      <c r="AF67" s="93" t="str">
        <f>IF($BB67="","",IF(AF$6=$BJ67,"◆",IF(AND(AF$6&gt;=$BF67,AF$6&lt;=$BG67),IF(AND(AF$6&gt;=$BD67,AF$6&lt;=$BE67),"実","外"),IF(AND(AF$6&gt;=$BD67,AF$6&lt;=$BE67),"計",IF(AND(AF$6&gt;=$BH67,AF$6&lt;=$BI67),"遅","")))))</f>
        <v/>
      </c>
      <c r="AG67" s="93" t="str">
        <f>IF($BB67="","",IF(AG$6=$BJ67,"◆",IF(AND(AG$6&gt;=$BF67,AG$6&lt;=$BG67),IF(AND(AG$6&gt;=$BD67,AG$6&lt;=$BE67),"実","外"),IF(AND(AG$6&gt;=$BD67,AG$6&lt;=$BE67),"計",IF(AND(AG$6&gt;=$BH67,AG$6&lt;=$BI67),"遅","")))))</f>
        <v/>
      </c>
      <c r="AH67" s="93" t="str">
        <f>IF($BB67="","",IF(AH$6=$BJ67,"◆",IF(AND(AH$6&gt;=$BF67,AH$6&lt;=$BG67),IF(AND(AH$6&gt;=$BD67,AH$6&lt;=$BE67),"実","外"),IF(AND(AH$6&gt;=$BD67,AH$6&lt;=$BE67),"計",IF(AND(AH$6&gt;=$BH67,AH$6&lt;=$BI67),"遅","")))))</f>
        <v/>
      </c>
      <c r="AI67" s="93" t="str">
        <f>IF($BB67="","",IF(AI$6=$BJ67,"◆",IF(AND(AI$6&gt;=$BF67,AI$6&lt;=$BG67),IF(AND(AI$6&gt;=$BD67,AI$6&lt;=$BE67),"実","外"),IF(AND(AI$6&gt;=$BD67,AI$6&lt;=$BE67),"計",IF(AND(AI$6&gt;=$BH67,AI$6&lt;=$BI67),"遅","")))))</f>
        <v/>
      </c>
      <c r="AJ67" s="93" t="str">
        <f>IF($BB67="","",IF(AJ$6=$BJ67,"◆",IF(AND(AJ$6&gt;=$BF67,AJ$6&lt;=$BG67),IF(AND(AJ$6&gt;=$BD67,AJ$6&lt;=$BE67),"実","外"),IF(AND(AJ$6&gt;=$BD67,AJ$6&lt;=$BE67),"計",IF(AND(AJ$6&gt;=$BH67,AJ$6&lt;=$BI67),"遅","")))))</f>
        <v/>
      </c>
      <c r="AK67" s="93" t="str">
        <f>IF($BB67="","",IF(AK$6=$BJ67,"◆",IF(AND(AK$6&gt;=$BF67,AK$6&lt;=$BG67),IF(AND(AK$6&gt;=$BD67,AK$6&lt;=$BE67),"実","外"),IF(AND(AK$6&gt;=$BD67,AK$6&lt;=$BE67),"計",IF(AND(AK$6&gt;=$BH67,AK$6&lt;=$BI67),"遅","")))))</f>
        <v/>
      </c>
      <c r="AL67" s="93" t="str">
        <f>IF($BB67="","",IF(AL$6=$BJ67,"◆",IF(AND(AL$6&gt;=$BF67,AL$6&lt;=$BG67),IF(AND(AL$6&gt;=$BD67,AL$6&lt;=$BE67),"実","外"),IF(AND(AL$6&gt;=$BD67,AL$6&lt;=$BE67),"計",IF(AND(AL$6&gt;=$BH67,AL$6&lt;=$BI67),"遅","")))))</f>
        <v/>
      </c>
      <c r="AM67" s="93" t="str">
        <f>IF($BB67="","",IF(AM$6=$BJ67,"◆",IF(AND(AM$6&gt;=$BF67,AM$6&lt;=$BG67),IF(AND(AM$6&gt;=$BD67,AM$6&lt;=$BE67),"実","外"),IF(AND(AM$6&gt;=$BD67,AM$6&lt;=$BE67),"計",IF(AND(AM$6&gt;=$BH67,AM$6&lt;=$BI67),"遅","")))))</f>
        <v/>
      </c>
      <c r="AN67" s="93" t="str">
        <f>IF($BB67="","",IF(AN$6=$BJ67,"◆",IF(AND(AN$6&gt;=$BF67,AN$6&lt;=$BG67),IF(AND(AN$6&gt;=$BD67,AN$6&lt;=$BE67),"実","外"),IF(AND(AN$6&gt;=$BD67,AN$6&lt;=$BE67),"計",IF(AND(AN$6&gt;=$BH67,AN$6&lt;=$BI67),"遅","")))))</f>
        <v/>
      </c>
      <c r="AO67" s="93" t="str">
        <f>IF($BB67="","",IF(AO$6=$BJ67,"◆",IF(AND(AO$6&gt;=$BF67,AO$6&lt;=$BG67),IF(AND(AO$6&gt;=$BD67,AO$6&lt;=$BE67),"実","外"),IF(AND(AO$6&gt;=$BD67,AO$6&lt;=$BE67),"計",IF(AND(AO$6&gt;=$BH67,AO$6&lt;=$BI67),"遅","")))))</f>
        <v/>
      </c>
      <c r="AP67" s="93" t="str">
        <f>IF($BB67="","",IF(AP$6=$BJ67,"◆",IF(AND(AP$6&gt;=$BF67,AP$6&lt;=$BG67),IF(AND(AP$6&gt;=$BD67,AP$6&lt;=$BE67),"実","外"),IF(AND(AP$6&gt;=$BD67,AP$6&lt;=$BE67),"計",IF(AND(AP$6&gt;=$BH67,AP$6&lt;=$BI67),"遅","")))))</f>
        <v/>
      </c>
      <c r="AQ67" s="93" t="str">
        <f>IF($BB67="","",IF(AQ$6=$BJ67,"◆",IF(AND(AQ$6&gt;=$BF67,AQ$6&lt;=$BG67),IF(AND(AQ$6&gt;=$BD67,AQ$6&lt;=$BE67),"実","外"),IF(AND(AQ$6&gt;=$BD67,AQ$6&lt;=$BE67),"計",IF(AND(AQ$6&gt;=$BH67,AQ$6&lt;=$BI67),"遅","")))))</f>
        <v/>
      </c>
      <c r="AR67" s="93" t="str">
        <f>IF($BB67="","",IF(AR$6=$BJ67,"◆",IF(AND(AR$6&gt;=$BF67,AR$6&lt;=$BG67),IF(AND(AR$6&gt;=$BD67,AR$6&lt;=$BE67),"実","外"),IF(AND(AR$6&gt;=$BD67,AR$6&lt;=$BE67),"計",IF(AND(AR$6&gt;=$BH67,AR$6&lt;=$BI67),"遅","")))))</f>
        <v/>
      </c>
      <c r="AS67" s="93" t="str">
        <f>IF($BB67="","",IF(AS$6=$BJ67,"◆",IF(AND(AS$6&gt;=$BF67,AS$6&lt;=$BG67),IF(AND(AS$6&gt;=$BD67,AS$6&lt;=$BE67),"実","外"),IF(AND(AS$6&gt;=$BD67,AS$6&lt;=$BE67),"計",IF(AND(AS$6&gt;=$BH67,AS$6&lt;=$BI67),"遅","")))))</f>
        <v/>
      </c>
      <c r="AT67" s="93" t="str">
        <f>IF($BB67="","",IF(AT$6=$BJ67,"◆",IF(AND(AT$6&gt;=$BF67,AT$6&lt;=$BG67),IF(AND(AT$6&gt;=$BD67,AT$6&lt;=$BE67),"実","外"),IF(AND(AT$6&gt;=$BD67,AT$6&lt;=$BE67),"計",IF(AND(AT$6&gt;=$BH67,AT$6&lt;=$BI67),"遅","")))))</f>
        <v/>
      </c>
      <c r="AU67" s="93" t="str">
        <f>IF($BB67="","",IF(AU$6=$BJ67,"◆",IF(AND(AU$6&gt;=$BF67,AU$6&lt;=$BG67),IF(AND(AU$6&gt;=$BD67,AU$6&lt;=$BE67),"実","外"),IF(AND(AU$6&gt;=$BD67,AU$6&lt;=$BE67),"計",IF(AND(AU$6&gt;=$BH67,AU$6&lt;=$BI67),"遅","")))))</f>
        <v/>
      </c>
      <c r="AV67" s="93" t="str">
        <f>IF($BB67="","",IF(AV$6=$BJ67,"◆",IF(AND(AV$6&gt;=$BF67,AV$6&lt;=$BG67),IF(AND(AV$6&gt;=$BD67,AV$6&lt;=$BE67),"実","外"),IF(AND(AV$6&gt;=$BD67,AV$6&lt;=$BE67),"計",IF(AND(AV$6&gt;=$BH67,AV$6&lt;=$BI67),"遅","")))))</f>
        <v/>
      </c>
      <c r="AW67" s="93" t="str">
        <f>IF($BB67="","",IF(AW$6=$BJ67,"◆",IF(AND(AW$6&gt;=$BF67,AW$6&lt;=$BG67),IF(AND(AW$6&gt;=$BD67,AW$6&lt;=$BE67),"実","外"),IF(AND(AW$6&gt;=$BD67,AW$6&lt;=$BE67),"計",IF(AND(AW$6&gt;=$BH67,AW$6&lt;=$BI67),"遅","")))))</f>
        <v/>
      </c>
      <c r="AX67" s="93" t="str">
        <f>IF($BB67="","",IF(AX$6=$BJ67,"◆",IF(AND(AX$6&gt;=$BF67,AX$6&lt;=$BG67),IF(AND(AX$6&gt;=$BD67,AX$6&lt;=$BE67),"実","外"),IF(AND(AX$6&gt;=$BD67,AX$6&lt;=$BE67),"計",IF(AND(AX$6&gt;=$BH67,AX$6&lt;=$BI67),"遅","")))))</f>
        <v/>
      </c>
      <c r="AY67" s="93" t="str">
        <f>IF($BB67="","",IF(AY$6=$BJ67,"◆",IF(AND(AY$6&gt;=$BF67,AY$6&lt;=$BG67),IF(AND(AY$6&gt;=$BD67,AY$6&lt;=$BE67),"実","外"),IF(AND(AY$6&gt;=$BD67,AY$6&lt;=$BE67),"計",IF(AND(AY$6&gt;=$BH67,AY$6&lt;=$BI67),"遅","")))))</f>
        <v/>
      </c>
      <c r="AZ67" s="93" t="str">
        <f>IF($BB67="","",IF(AZ$6=$BJ67,"◆",IF(AND(AZ$6&gt;=$BF67,AZ$6&lt;=$BG67),IF(AND(AZ$6&gt;=$BD67,AZ$6&lt;=$BE67),"実","外"),IF(AND(AZ$6&gt;=$BD67,AZ$6&lt;=$BE67),"計",IF(AND(AZ$6&gt;=$BH67,AZ$6&lt;=$BI67),"遅","")))))</f>
        <v/>
      </c>
      <c r="BB67" t="str">
        <f>IF(60&gt;COUNTIF(tblSteps[日別対象],1),"",IFERROR(MATCH(60,tblSteps[日別順位],0),""))</f>
        <v/>
      </c>
      <c r="BC67" t="str">
        <f>IF($BB67="","",INDEX(tblSteps[案件ID],$BB67)&amp;"")</f>
        <v/>
      </c>
      <c r="BD67" t="str">
        <f>IF($BB67="","",INDEX(tblSteps[計開],$BB67))</f>
        <v/>
      </c>
      <c r="BE67" t="str">
        <f>IF($BB67="","",INDEX(tblSteps[計終],$BB67))</f>
        <v/>
      </c>
      <c r="BF67" t="str">
        <f>IF($BB67="","",INDEX(tblSteps[実開],$BB67))</f>
        <v/>
      </c>
      <c r="BG67" t="str">
        <f>IF($BB67="","",INDEX(tblSteps[実終],$BB67))</f>
        <v/>
      </c>
      <c r="BH67" t="str">
        <f>IF($BB67="","",INDEX(tblSteps[遅開],$BB67))</f>
        <v/>
      </c>
      <c r="BI67" t="str">
        <f>IF($BB67="","",INDEX(tblSteps[遅終],$BB67))</f>
        <v/>
      </c>
      <c r="BJ67" t="str">
        <f>IF($BB67="","",INDEX(tblSteps[納期値],$BB67))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4">
    <mergeCell ref="I5:I7"/>
    <mergeCell ref="D5:D7"/>
    <mergeCell ref="Q4:S4"/>
    <mergeCell ref="A4:J4"/>
    <mergeCell ref="A5:A7"/>
    <mergeCell ref="G5:G7"/>
    <mergeCell ref="AC4:AE4"/>
    <mergeCell ref="B5:B7"/>
    <mergeCell ref="Z4:AB4"/>
    <mergeCell ref="H5:H7"/>
    <mergeCell ref="J5:J7"/>
    <mergeCell ref="G3:H3"/>
    <mergeCell ref="I3:J3"/>
    <mergeCell ref="K4:M4"/>
    <mergeCell ref="W4:Y4"/>
    <mergeCell ref="C5:C7"/>
    <mergeCell ref="E5:E7"/>
    <mergeCell ref="N4:P4"/>
    <mergeCell ref="K1:N1"/>
    <mergeCell ref="F5:F7"/>
    <mergeCell ref="K3:V3"/>
    <mergeCell ref="H1:J1"/>
    <mergeCell ref="T4:V4"/>
    <mergeCell ref="E3:F3"/>
  </mergeCells>
  <conditionalFormatting sqref="K5:AZ7">
    <cfRule type="expression" priority="1" dxfId="5" stopIfTrue="1">
      <formula>K$6=RefDate</formula>
    </cfRule>
    <cfRule type="expression" priority="2" dxfId="6" stopIfTrue="1">
      <formula>OR(K$7="土",K$7="日",K$7="休")</formula>
    </cfRule>
  </conditionalFormatting>
  <conditionalFormatting sqref="K8:AZ67">
    <cfRule type="expression" priority="3" dxfId="7" stopIfTrue="1">
      <formula>K8="計"</formula>
    </cfRule>
    <cfRule type="expression" priority="4" dxfId="8" stopIfTrue="1">
      <formula>K8="実"</formula>
    </cfRule>
    <cfRule type="expression" priority="5" dxfId="9" stopIfTrue="1">
      <formula>K8="外"</formula>
    </cfRule>
    <cfRule type="expression" priority="6" dxfId="10" stopIfTrue="1">
      <formula>K8="遅"</formula>
    </cfRule>
    <cfRule type="expression" priority="7" dxfId="11" stopIfTrue="1">
      <formula>K8="◆"</formula>
    </cfRule>
    <cfRule type="expression" priority="8" dxfId="12" stopIfTrue="1">
      <formula>K$6=RefDate</formula>
    </cfRule>
    <cfRule type="expression" priority="9" dxfId="13" stopIfTrue="1">
      <formula>OR(K$7="土",K$7="日",K$7="休")</formula>
    </cfRule>
  </conditionalFormatting>
  <conditionalFormatting sqref="A8:AZ67">
    <cfRule type="expression" priority="10" dxfId="14" stopIfTrue="0">
      <formula>AND($BB8&lt;&gt;"",$BC8&lt;&gt;$BC7)</formula>
    </cfRule>
  </conditionalFormatting>
  <conditionalFormatting sqref="J8:J67">
    <cfRule type="expression" priority="11" dxfId="3" stopIfTrue="1">
      <formula>OR(LEFT(J8,4)="期限超過",J8="納期遅れ見込")</formula>
    </cfRule>
    <cfRule type="expression" priority="12" dxfId="2" stopIfTrue="1">
      <formula>OR(J8="入力要確認",LEFT(J8,2)="見込",J8="重複の可能性",LEFT(J8,4)="完了遅延")</formula>
    </cfRule>
    <cfRule type="expression" priority="13" dxfId="4" stopIfTrue="1">
      <formula>J8="完了"</formula>
    </cfRule>
  </conditionalFormatting>
  <conditionalFormatting sqref="F8:F67">
    <cfRule type="dataBar" priority="14">
      <dataBar showValue="1">
        <cfvo type="num" val="0"/>
        <cfvo type="num" val="1"/>
        <color rgb="002F6BDB"/>
      </dataBar>
    </cfRule>
  </conditionalFormatting>
  <dataValidations count="2">
    <dataValidation sqref="C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員／担当者で絞り込みます。" type="list" errorStyle="stop">
      <formula1>=dv_StaffAll</formula1>
    </dataValidation>
    <dataValidation sqref="E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案件／案件IDで絞り込みます。" type="list" errorStyle="stop">
      <formula1>=dv_ProjAll</formula1>
    </dataValidation>
  </dataValidations>
  <hyperlinks>
    <hyperlink ref="K1" location="'01_全体ホーム'!A1" display="← ホームへ"/>
    <hyperlink ref="K3" location="'07_設定'!C7" display="▶ 表示開始日・基準日を変更（07_設定）"/>
  </hyperlinks>
  <printOptions horizontalCentered="1"/>
  <pageMargins left="0.4" right="0.4" top="0.5" bottom="0.5" header="0.2" footer="0.2"/>
  <pageSetup orientation="landscape" paperSize="8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A800"/>
    <outlinePr summaryBelow="1" summaryRight="1"/>
    <pageSetUpPr fitToPage="1"/>
  </sheetPr>
  <dimension ref="A1:AG67"/>
  <sheetViews>
    <sheetView showGridLines="0" workbookViewId="0">
      <pane xSplit="10" ySplit="7" topLeftCell="K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9" customWidth="1" min="2" max="2"/>
    <col width="18" customWidth="1" min="3" max="3"/>
    <col width="9" customWidth="1" min="4" max="4"/>
    <col width="7" customWidth="1" min="5" max="5"/>
    <col width="6" customWidth="1" min="6" max="6"/>
    <col width="7" customWidth="1" min="7" max="7"/>
    <col width="7" customWidth="1" min="8" max="8"/>
    <col width="7" customWidth="1" min="9" max="9"/>
    <col width="13" customWidth="1" min="10" max="10"/>
    <col width="6.4" customWidth="1" min="11" max="11"/>
    <col width="6.4" customWidth="1" min="12" max="12"/>
    <col width="6.4" customWidth="1" min="13" max="13"/>
    <col width="6.4" customWidth="1" min="14" max="14"/>
    <col width="6.4" customWidth="1" min="15" max="15"/>
    <col width="6.4" customWidth="1" min="16" max="16"/>
    <col width="6.4" customWidth="1" min="17" max="17"/>
    <col width="6.4" customWidth="1" min="18" max="18"/>
    <col width="6.4" customWidth="1" min="19" max="19"/>
    <col width="6.4" customWidth="1" min="20" max="20"/>
    <col width="6.4" customWidth="1" min="21" max="21"/>
    <col width="6.4" customWidth="1" min="22" max="22"/>
    <col width="6.4" customWidth="1" min="23" max="23"/>
    <col width="2" customWidth="1" min="24" max="24"/>
    <col hidden="1" width="8" customWidth="1" min="25" max="25"/>
    <col hidden="1" width="8" customWidth="1" min="26" max="26"/>
    <col hidden="1" width="8" customWidth="1" min="27" max="27"/>
    <col hidden="1" width="8" customWidth="1" min="28" max="28"/>
    <col hidden="1" width="8" customWidth="1" min="29" max="29"/>
    <col hidden="1" width="8" customWidth="1" min="30" max="30"/>
    <col hidden="1" width="8" customWidth="1" min="31" max="31"/>
    <col hidden="1" width="8" customWidth="1" min="32" max="32"/>
    <col hidden="1" width="8" customWidth="1" min="33" max="33"/>
  </cols>
  <sheetData>
    <row r="1" ht="30" customHeight="1">
      <c r="A1" s="1" t="inlineStr">
        <is>
          <t>週別ガント（13週）</t>
        </is>
      </c>
      <c r="B1" s="2" t="n"/>
      <c r="C1" s="2" t="n"/>
      <c r="D1" s="2" t="n"/>
      <c r="E1" s="2" t="n"/>
      <c r="F1" s="2" t="n"/>
      <c r="G1" s="2" t="n"/>
      <c r="H1" s="3" t="inlineStr">
        <is>
          <t>サンプル（架空データ）</t>
        </is>
      </c>
      <c r="K1" s="35" t="inlineStr">
        <is>
          <t>← ホームへ</t>
        </is>
      </c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</row>
    <row r="2" ht="20" customHeight="1">
      <c r="A2" s="4" t="inlineStr">
        <is>
          <t>03_工程入力の日付から自動で横棒を表示します（手で塗る必要はありません）。表示開始日・基準日は 07_設定 で変更します。</t>
        </is>
      </c>
    </row>
    <row r="3" ht="24" customHeight="1">
      <c r="B3" s="6" t="inlineStr">
        <is>
          <t>担当</t>
        </is>
      </c>
      <c r="C3" s="64" t="inlineStr">
        <is>
          <t>全員</t>
        </is>
      </c>
      <c r="D3" s="6" t="inlineStr">
        <is>
          <t>案件</t>
        </is>
      </c>
      <c r="E3" s="64" t="inlineStr">
        <is>
          <t>全案件</t>
        </is>
      </c>
      <c r="F3" s="65" t="n"/>
      <c r="G3" s="6" t="inlineStr">
        <is>
          <t>開始週</t>
        </is>
      </c>
      <c r="I3" s="66">
        <f>WeekStart</f>
        <v>46286.0</v>
      </c>
      <c r="K3" s="67" t="inlineStr">
        <is>
          <t>▶ 表示開始日・基準日を変更（07_設定）</t>
        </is>
      </c>
    </row>
    <row r="4" ht="22" customHeight="1">
      <c r="A4" s="68" t="str">
        <f>"表示 "&amp;MIN(60,COUNTIF(tblSteps[週別対象],1))&amp;" 件／条件に合う工程 "&amp;COUNTIF(tblSteps[週別対象],1)&amp;" 件"&amp;IF(COUNTIF(tblSteps[週別対象],1)&gt;60,"　▲上限60行を超えた "&amp;(COUNTIF(tblSteps[週別対象],1)-60)&amp;" 件は未表示。担当・案件で絞り込んでください","")&amp;IF(COUNTIF(tblSteps[週別期間外],1)&gt;0,"　（表示期間の外の工程 "&amp;COUNTIF(tblSteps[週別期間外],1)&amp;" 件）","")&amp;"　基準日 "&amp;TEXT(RefDate,"m/d")</f>
        <v>表示 28 件／条件に合う工程 28 件　（表示期間の外の工程 1 件）　基準日 10/5</v>
      </c>
      <c r="K4" s="69" t="inlineStr">
        <is>
          <t>計画</t>
        </is>
      </c>
      <c r="L4" s="70" t="n"/>
      <c r="M4" s="71" t="inlineStr">
        <is>
          <t>実績（計画内）</t>
        </is>
      </c>
      <c r="N4" s="72" t="n"/>
      <c r="O4" s="73" t="inlineStr">
        <is>
          <t>計画外の実績</t>
        </is>
      </c>
      <c r="P4" s="74" t="n"/>
      <c r="Q4" s="75" t="inlineStr">
        <is>
          <t>遅れ・見込延長</t>
        </is>
      </c>
      <c r="R4" s="76" t="n"/>
      <c r="S4" s="77" t="inlineStr">
        <is>
          <t>◆ 顧客納期</t>
        </is>
      </c>
      <c r="T4" s="78" t="n"/>
      <c r="U4" s="79" t="inlineStr">
        <is>
          <t>今週</t>
        </is>
      </c>
      <c r="V4" s="80" t="n"/>
    </row>
    <row r="5" ht="16" customHeight="1">
      <c r="A5" s="83" t="inlineStr">
        <is>
          <t>工程ID</t>
        </is>
      </c>
      <c r="B5" s="83" t="inlineStr">
        <is>
          <t>案件</t>
        </is>
      </c>
      <c r="C5" s="83" t="inlineStr">
        <is>
          <t>工程</t>
        </is>
      </c>
      <c r="D5" s="83" t="inlineStr">
        <is>
          <t>担当</t>
        </is>
      </c>
      <c r="E5" s="83" t="inlineStr">
        <is>
          <t>状態</t>
        </is>
      </c>
      <c r="F5" s="83" t="inlineStr">
        <is>
          <t>進捗</t>
        </is>
      </c>
      <c r="G5" s="83" t="inlineStr">
        <is>
          <t>計画開始</t>
        </is>
      </c>
      <c r="H5" s="83" t="inlineStr">
        <is>
          <t>計画終了</t>
        </is>
      </c>
      <c r="I5" s="83" t="inlineStr">
        <is>
          <t>完了見込</t>
        </is>
      </c>
      <c r="J5" s="83" t="inlineStr">
        <is>
          <t>注意</t>
        </is>
      </c>
      <c r="K5" s="94" t="str">
        <f>MONTH(K6)&amp;"月"</f>
        <v>9月</v>
      </c>
      <c r="L5" s="94" t="str">
        <f>IF(MONTH(L6)&lt;&gt;MONTH(K6),MONTH(L6)&amp;"月","")</f>
        <v/>
      </c>
      <c r="M5" s="94" t="str">
        <f>IF(MONTH(M6)&lt;&gt;MONTH(L6),MONTH(M6)&amp;"月","")</f>
        <v>10月</v>
      </c>
      <c r="N5" s="94" t="str">
        <f>IF(MONTH(N6)&lt;&gt;MONTH(M6),MONTH(N6)&amp;"月","")</f>
        <v/>
      </c>
      <c r="O5" s="94" t="str">
        <f>IF(MONTH(O6)&lt;&gt;MONTH(N6),MONTH(O6)&amp;"月","")</f>
        <v/>
      </c>
      <c r="P5" s="94" t="str">
        <f>IF(MONTH(P6)&lt;&gt;MONTH(O6),MONTH(P6)&amp;"月","")</f>
        <v/>
      </c>
      <c r="Q5" s="94" t="str">
        <f>IF(MONTH(Q6)&lt;&gt;MONTH(P6),MONTH(Q6)&amp;"月","")</f>
        <v>11月</v>
      </c>
      <c r="R5" s="94" t="str">
        <f>IF(MONTH(R6)&lt;&gt;MONTH(Q6),MONTH(R6)&amp;"月","")</f>
        <v/>
      </c>
      <c r="S5" s="94" t="str">
        <f>IF(MONTH(S6)&lt;&gt;MONTH(R6),MONTH(S6)&amp;"月","")</f>
        <v/>
      </c>
      <c r="T5" s="94" t="str">
        <f>IF(MONTH(T6)&lt;&gt;MONTH(S6),MONTH(T6)&amp;"月","")</f>
        <v/>
      </c>
      <c r="U5" s="94" t="str">
        <f>IF(MONTH(U6)&lt;&gt;MONTH(T6),MONTH(U6)&amp;"月","")</f>
        <v/>
      </c>
      <c r="V5" s="94" t="str">
        <f>IF(MONTH(V6)&lt;&gt;MONTH(U6),MONTH(V6)&amp;"月","")</f>
        <v>12月</v>
      </c>
      <c r="W5" s="94" t="str">
        <f>IF(MONTH(W6)&lt;&gt;MONTH(V6),MONTH(W6)&amp;"月","")</f>
        <v/>
      </c>
    </row>
    <row r="6" ht="16" customHeight="1">
      <c r="K6" s="95">
        <f>WeekStart</f>
        <v>46286.0</v>
      </c>
      <c r="L6" s="95">
        <f>K6+7</f>
        <v>46293.0</v>
      </c>
      <c r="M6" s="95">
        <f>L6+7</f>
        <v>46300.0</v>
      </c>
      <c r="N6" s="95">
        <f>M6+7</f>
        <v>46307.0</v>
      </c>
      <c r="O6" s="95">
        <f>N6+7</f>
        <v>46314.0</v>
      </c>
      <c r="P6" s="95">
        <f>O6+7</f>
        <v>46321.0</v>
      </c>
      <c r="Q6" s="95">
        <f>P6+7</f>
        <v>46328.0</v>
      </c>
      <c r="R6" s="95">
        <f>Q6+7</f>
        <v>46335.0</v>
      </c>
      <c r="S6" s="95">
        <f>R6+7</f>
        <v>46342.0</v>
      </c>
      <c r="T6" s="95">
        <f>S6+7</f>
        <v>46349.0</v>
      </c>
      <c r="U6" s="95">
        <f>T6+7</f>
        <v>46356.0</v>
      </c>
      <c r="V6" s="95">
        <f>U6+7</f>
        <v>46363.0</v>
      </c>
      <c r="W6" s="95">
        <f>V6+7</f>
        <v>46370.0</v>
      </c>
    </row>
    <row r="7" ht="16" customHeight="1">
      <c r="K7" s="96">
        <f>K6+6</f>
        <v>46292.0</v>
      </c>
      <c r="L7" s="96">
        <f>L6+6</f>
        <v>46299.0</v>
      </c>
      <c r="M7" s="96">
        <f>M6+6</f>
        <v>46306.0</v>
      </c>
      <c r="N7" s="96">
        <f>N6+6</f>
        <v>46313.0</v>
      </c>
      <c r="O7" s="96">
        <f>O6+6</f>
        <v>46320.0</v>
      </c>
      <c r="P7" s="96">
        <f>P6+6</f>
        <v>46327.0</v>
      </c>
      <c r="Q7" s="96">
        <f>Q6+6</f>
        <v>46334.0</v>
      </c>
      <c r="R7" s="96">
        <f>R6+6</f>
        <v>46341.0</v>
      </c>
      <c r="S7" s="96">
        <f>S6+6</f>
        <v>46348.0</v>
      </c>
      <c r="T7" s="96">
        <f>T6+6</f>
        <v>46355.0</v>
      </c>
      <c r="U7" s="96">
        <f>U6+6</f>
        <v>46362.0</v>
      </c>
      <c r="V7" s="96">
        <f>V6+6</f>
        <v>46369.0</v>
      </c>
      <c r="W7" s="96">
        <f>W6+6</f>
        <v>46376.0</v>
      </c>
    </row>
    <row r="8" ht="18" customHeight="1">
      <c r="A8" s="87" t="str">
        <f>IF($Y8="",IF(COUNTIF(tblSteps[週別対象],1)=0,IF(COUNTIF(tblSteps[工程ID],"?*")=0,"工程未登録：03_工程入力に登録すると表示されます","条件に合う工程はありません（担当・案件・表示期間を確認）"),""),INDEX(tblSteps[工程ID],$Y8)&amp;"")</f>
        <v>S0021</v>
      </c>
      <c r="B8" s="88" t="str">
        <f>IF($Y8="","",IF($Z8=$Z7,"",$Z8&amp;" "&amp;INDEX(tblSteps[案件名],$Y8)))</f>
        <v>A0023 定期保守点検（年2回）</v>
      </c>
      <c r="C8" s="88" t="str">
        <f>IF($Y8="","",INDEX(tblSteps[工程名],$Y8)&amp;"")</f>
        <v>点検計画</v>
      </c>
      <c r="D8" s="89" t="str">
        <f>IF($Y8="","",INDEX(tblSteps[担当],$Y8)&amp;"")</f>
        <v>渡辺</v>
      </c>
      <c r="E8" s="89" t="str">
        <f>IF($Y8="","",INDEX(tblSteps[状態],$Y8)&amp;"")</f>
        <v>完了</v>
      </c>
      <c r="F8" s="90">
        <f>IF($Y8="","",IF(ISNUMBER(INDEX(tblSteps[進捗率],$Y8)),INDEX(tblSteps[進捗率],$Y8),""))</f>
        <v>1</v>
      </c>
      <c r="G8" s="91">
        <f>IF($Y8="","",IF(ISNUMBER(INDEX(tblSteps[計画開始日],$Y8)),INDEX(tblSteps[計画開始日],$Y8),"未入力"))</f>
        <v>46287.0</v>
      </c>
      <c r="H8" s="91">
        <f>IF($Y8="","",IF(ISNUMBER(INDEX(tblSteps[計画終了日],$Y8)),INDEX(tblSteps[計画終了日],$Y8),"未入力"))</f>
        <v>46289.0</v>
      </c>
      <c r="I8" s="91" t="str">
        <f>IF($Y8="","",IF(ISNUMBER(INDEX(tblSteps[完了見込日],$Y8)),INDEX(tblSteps[完了見込日],$Y8),""))</f>
        <v/>
      </c>
      <c r="J8" s="92" t="str">
        <f>IF($Y8="","",INDEX(tblSteps[注意短],$Y8)&amp;"")</f>
        <v>完了</v>
      </c>
      <c r="K8" s="93" t="str">
        <f>IF($Y8="","",IF(AND($AG8&gt;=K$6,$AG8&lt;=(K$6+6)),"◆",IF(AND($AE8&lt;=(K$6+6),$AF8&gt;=K$6),"遅",IF(AND($AC8&lt;=(K$6+6),$AD8&gt;=K$6),IF(AND($AA8&lt;=(K$6+6),$AB8&gt;=K$6),"実","外"),IF(AND($AA8&lt;=(K$6+6),$AB8&gt;=K$6),"計","")))))</f>
        <v>実</v>
      </c>
      <c r="L8" s="93" t="str">
        <f>IF($Y8="","",IF(AND($AG8&gt;=L$6,$AG8&lt;=(L$6+6)),"◆",IF(AND($AE8&lt;=(L$6+6),$AF8&gt;=L$6),"遅",IF(AND($AC8&lt;=(L$6+6),$AD8&gt;=L$6),IF(AND($AA8&lt;=(L$6+6),$AB8&gt;=L$6),"実","外"),IF(AND($AA8&lt;=(L$6+6),$AB8&gt;=L$6),"計","")))))</f>
        <v>◆</v>
      </c>
      <c r="M8" s="93" t="str">
        <f>IF($Y8="","",IF(AND($AG8&gt;=M$6,$AG8&lt;=(M$6+6)),"◆",IF(AND($AE8&lt;=(M$6+6),$AF8&gt;=M$6),"遅",IF(AND($AC8&lt;=(M$6+6),$AD8&gt;=M$6),IF(AND($AA8&lt;=(M$6+6),$AB8&gt;=M$6),"実","外"),IF(AND($AA8&lt;=(M$6+6),$AB8&gt;=M$6),"計","")))))</f>
        <v/>
      </c>
      <c r="N8" s="93" t="str">
        <f>IF($Y8="","",IF(AND($AG8&gt;=N$6,$AG8&lt;=(N$6+6)),"◆",IF(AND($AE8&lt;=(N$6+6),$AF8&gt;=N$6),"遅",IF(AND($AC8&lt;=(N$6+6),$AD8&gt;=N$6),IF(AND($AA8&lt;=(N$6+6),$AB8&gt;=N$6),"実","外"),IF(AND($AA8&lt;=(N$6+6),$AB8&gt;=N$6),"計","")))))</f>
        <v/>
      </c>
      <c r="O8" s="93" t="str">
        <f>IF($Y8="","",IF(AND($AG8&gt;=O$6,$AG8&lt;=(O$6+6)),"◆",IF(AND($AE8&lt;=(O$6+6),$AF8&gt;=O$6),"遅",IF(AND($AC8&lt;=(O$6+6),$AD8&gt;=O$6),IF(AND($AA8&lt;=(O$6+6),$AB8&gt;=O$6),"実","外"),IF(AND($AA8&lt;=(O$6+6),$AB8&gt;=O$6),"計","")))))</f>
        <v/>
      </c>
      <c r="P8" s="93" t="str">
        <f>IF($Y8="","",IF(AND($AG8&gt;=P$6,$AG8&lt;=(P$6+6)),"◆",IF(AND($AE8&lt;=(P$6+6),$AF8&gt;=P$6),"遅",IF(AND($AC8&lt;=(P$6+6),$AD8&gt;=P$6),IF(AND($AA8&lt;=(P$6+6),$AB8&gt;=P$6),"実","外"),IF(AND($AA8&lt;=(P$6+6),$AB8&gt;=P$6),"計","")))))</f>
        <v/>
      </c>
      <c r="Q8" s="93" t="str">
        <f>IF($Y8="","",IF(AND($AG8&gt;=Q$6,$AG8&lt;=(Q$6+6)),"◆",IF(AND($AE8&lt;=(Q$6+6),$AF8&gt;=Q$6),"遅",IF(AND($AC8&lt;=(Q$6+6),$AD8&gt;=Q$6),IF(AND($AA8&lt;=(Q$6+6),$AB8&gt;=Q$6),"実","外"),IF(AND($AA8&lt;=(Q$6+6),$AB8&gt;=Q$6),"計","")))))</f>
        <v/>
      </c>
      <c r="R8" s="93" t="str">
        <f>IF($Y8="","",IF(AND($AG8&gt;=R$6,$AG8&lt;=(R$6+6)),"◆",IF(AND($AE8&lt;=(R$6+6),$AF8&gt;=R$6),"遅",IF(AND($AC8&lt;=(R$6+6),$AD8&gt;=R$6),IF(AND($AA8&lt;=(R$6+6),$AB8&gt;=R$6),"実","外"),IF(AND($AA8&lt;=(R$6+6),$AB8&gt;=R$6),"計","")))))</f>
        <v/>
      </c>
      <c r="S8" s="93" t="str">
        <f>IF($Y8="","",IF(AND($AG8&gt;=S$6,$AG8&lt;=(S$6+6)),"◆",IF(AND($AE8&lt;=(S$6+6),$AF8&gt;=S$6),"遅",IF(AND($AC8&lt;=(S$6+6),$AD8&gt;=S$6),IF(AND($AA8&lt;=(S$6+6),$AB8&gt;=S$6),"実","外"),IF(AND($AA8&lt;=(S$6+6),$AB8&gt;=S$6),"計","")))))</f>
        <v/>
      </c>
      <c r="T8" s="93" t="str">
        <f>IF($Y8="","",IF(AND($AG8&gt;=T$6,$AG8&lt;=(T$6+6)),"◆",IF(AND($AE8&lt;=(T$6+6),$AF8&gt;=T$6),"遅",IF(AND($AC8&lt;=(T$6+6),$AD8&gt;=T$6),IF(AND($AA8&lt;=(T$6+6),$AB8&gt;=T$6),"実","外"),IF(AND($AA8&lt;=(T$6+6),$AB8&gt;=T$6),"計","")))))</f>
        <v/>
      </c>
      <c r="U8" s="93" t="str">
        <f>IF($Y8="","",IF(AND($AG8&gt;=U$6,$AG8&lt;=(U$6+6)),"◆",IF(AND($AE8&lt;=(U$6+6),$AF8&gt;=U$6),"遅",IF(AND($AC8&lt;=(U$6+6),$AD8&gt;=U$6),IF(AND($AA8&lt;=(U$6+6),$AB8&gt;=U$6),"実","外"),IF(AND($AA8&lt;=(U$6+6),$AB8&gt;=U$6),"計","")))))</f>
        <v/>
      </c>
      <c r="V8" s="93" t="str">
        <f>IF($Y8="","",IF(AND($AG8&gt;=V$6,$AG8&lt;=(V$6+6)),"◆",IF(AND($AE8&lt;=(V$6+6),$AF8&gt;=V$6),"遅",IF(AND($AC8&lt;=(V$6+6),$AD8&gt;=V$6),IF(AND($AA8&lt;=(V$6+6),$AB8&gt;=V$6),"実","外"),IF(AND($AA8&lt;=(V$6+6),$AB8&gt;=V$6),"計","")))))</f>
        <v/>
      </c>
      <c r="W8" s="93" t="str">
        <f>IF($Y8="","",IF(AND($AG8&gt;=W$6,$AG8&lt;=(W$6+6)),"◆",IF(AND($AE8&lt;=(W$6+6),$AF8&gt;=W$6),"遅",IF(AND($AC8&lt;=(W$6+6),$AD8&gt;=W$6),IF(AND($AA8&lt;=(W$6+6),$AB8&gt;=W$6),"実","外"),IF(AND($AA8&lt;=(W$6+6),$AB8&gt;=W$6),"計","")))))</f>
        <v/>
      </c>
      <c r="Y8">
        <f>IF(1&gt;COUNTIF(tblSteps[週別対象],1),"",IFERROR(MATCH(1,tblSteps[週別順位],0),""))</f>
        <v>21</v>
      </c>
      <c r="Z8" t="str">
        <f>IF($Y8="","",INDEX(tblSteps[案件ID],$Y8)&amp;"")</f>
        <v>A0023</v>
      </c>
      <c r="AA8">
        <f>IF($Y8="","",INDEX(tblSteps[計開],$Y8))</f>
        <v>46287</v>
      </c>
      <c r="AB8">
        <f>IF($Y8="","",INDEX(tblSteps[計終],$Y8))</f>
        <v>46289</v>
      </c>
      <c r="AC8">
        <f>IF($Y8="","",INDEX(tblSteps[実開],$Y8))</f>
        <v>46287</v>
      </c>
      <c r="AD8">
        <f>IF($Y8="","",INDEX(tblSteps[実終],$Y8))</f>
        <v>46289</v>
      </c>
      <c r="AE8">
        <f>IF($Y8="","",INDEX(tblSteps[遅開],$Y8))</f>
        <v>1</v>
      </c>
      <c r="AF8">
        <f>IF($Y8="","",INDEX(tblSteps[遅終],$Y8))</f>
        <v>0</v>
      </c>
      <c r="AG8">
        <f>IF($Y8="","",INDEX(tblSteps[納期値],$Y8))</f>
        <v>46297</v>
      </c>
    </row>
    <row r="9" ht="18" customHeight="1">
      <c r="A9" s="89" t="str">
        <f>IF($Y9="","",INDEX(tblSteps[工程ID],$Y9)&amp;"")</f>
        <v>S0022</v>
      </c>
      <c r="B9" s="88" t="str">
        <f>IF($Y9="","",IF($Z9=$Z8,"",$Z9&amp;" "&amp;INDEX(tblSteps[案件名],$Y9)))</f>
        <v/>
      </c>
      <c r="C9" s="88" t="str">
        <f>IF($Y9="","",INDEX(tblSteps[工程名],$Y9)&amp;"")</f>
        <v>点検作業</v>
      </c>
      <c r="D9" s="89" t="str">
        <f>IF($Y9="","",INDEX(tblSteps[担当],$Y9)&amp;"")</f>
        <v>渡辺</v>
      </c>
      <c r="E9" s="89" t="str">
        <f>IF($Y9="","",INDEX(tblSteps[状態],$Y9)&amp;"")</f>
        <v>進行中</v>
      </c>
      <c r="F9" s="90">
        <f>IF($Y9="","",IF(ISNUMBER(INDEX(tblSteps[進捗率],$Y9)),INDEX(tblSteps[進捗率],$Y9),""))</f>
        <v>0.8</v>
      </c>
      <c r="G9" s="91">
        <f>IF($Y9="","",IF(ISNUMBER(INDEX(tblSteps[計画開始日],$Y9)),INDEX(tblSteps[計画開始日],$Y9),"未入力"))</f>
        <v>46294.0</v>
      </c>
      <c r="H9" s="91">
        <f>IF($Y9="","",IF(ISNUMBER(INDEX(tblSteps[計画終了日],$Y9)),INDEX(tblSteps[計画終了日],$Y9),"未入力"))</f>
        <v>46296.0</v>
      </c>
      <c r="I9" s="91" t="str">
        <f>IF($Y9="","",IF(ISNUMBER(INDEX(tblSteps[完了見込日],$Y9)),INDEX(tblSteps[完了見込日],$Y9),""))</f>
        <v/>
      </c>
      <c r="J9" s="92" t="str">
        <f>IF($Y9="","",INDEX(tblSteps[注意短],$Y9)&amp;"")</f>
        <v>期限超過4日</v>
      </c>
      <c r="K9" s="93" t="str">
        <f>IF($Y9="","",IF(AND($AG9&gt;=K$6,$AG9&lt;=(K$6+6)),"◆",IF(AND($AE9&lt;=(K$6+6),$AF9&gt;=K$6),"遅",IF(AND($AC9&lt;=(K$6+6),$AD9&gt;=K$6),IF(AND($AA9&lt;=(K$6+6),$AB9&gt;=K$6),"実","外"),IF(AND($AA9&lt;=(K$6+6),$AB9&gt;=K$6),"計","")))))</f>
        <v/>
      </c>
      <c r="L9" s="93" t="str">
        <f>IF($Y9="","",IF(AND($AG9&gt;=L$6,$AG9&lt;=(L$6+6)),"◆",IF(AND($AE9&lt;=(L$6+6),$AF9&gt;=L$6),"遅",IF(AND($AC9&lt;=(L$6+6),$AD9&gt;=L$6),IF(AND($AA9&lt;=(L$6+6),$AB9&gt;=L$6),"実","外"),IF(AND($AA9&lt;=(L$6+6),$AB9&gt;=L$6),"計","")))))</f>
        <v>◆</v>
      </c>
      <c r="M9" s="93" t="str">
        <f>IF($Y9="","",IF(AND($AG9&gt;=M$6,$AG9&lt;=(M$6+6)),"◆",IF(AND($AE9&lt;=(M$6+6),$AF9&gt;=M$6),"遅",IF(AND($AC9&lt;=(M$6+6),$AD9&gt;=M$6),IF(AND($AA9&lt;=(M$6+6),$AB9&gt;=M$6),"実","外"),IF(AND($AA9&lt;=(M$6+6),$AB9&gt;=M$6),"計","")))))</f>
        <v>遅</v>
      </c>
      <c r="N9" s="93" t="str">
        <f>IF($Y9="","",IF(AND($AG9&gt;=N$6,$AG9&lt;=(N$6+6)),"◆",IF(AND($AE9&lt;=(N$6+6),$AF9&gt;=N$6),"遅",IF(AND($AC9&lt;=(N$6+6),$AD9&gt;=N$6),IF(AND($AA9&lt;=(N$6+6),$AB9&gt;=N$6),"実","外"),IF(AND($AA9&lt;=(N$6+6),$AB9&gt;=N$6),"計","")))))</f>
        <v/>
      </c>
      <c r="O9" s="93" t="str">
        <f>IF($Y9="","",IF(AND($AG9&gt;=O$6,$AG9&lt;=(O$6+6)),"◆",IF(AND($AE9&lt;=(O$6+6),$AF9&gt;=O$6),"遅",IF(AND($AC9&lt;=(O$6+6),$AD9&gt;=O$6),IF(AND($AA9&lt;=(O$6+6),$AB9&gt;=O$6),"実","外"),IF(AND($AA9&lt;=(O$6+6),$AB9&gt;=O$6),"計","")))))</f>
        <v/>
      </c>
      <c r="P9" s="93" t="str">
        <f>IF($Y9="","",IF(AND($AG9&gt;=P$6,$AG9&lt;=(P$6+6)),"◆",IF(AND($AE9&lt;=(P$6+6),$AF9&gt;=P$6),"遅",IF(AND($AC9&lt;=(P$6+6),$AD9&gt;=P$6),IF(AND($AA9&lt;=(P$6+6),$AB9&gt;=P$6),"実","外"),IF(AND($AA9&lt;=(P$6+6),$AB9&gt;=P$6),"計","")))))</f>
        <v/>
      </c>
      <c r="Q9" s="93" t="str">
        <f>IF($Y9="","",IF(AND($AG9&gt;=Q$6,$AG9&lt;=(Q$6+6)),"◆",IF(AND($AE9&lt;=(Q$6+6),$AF9&gt;=Q$6),"遅",IF(AND($AC9&lt;=(Q$6+6),$AD9&gt;=Q$6),IF(AND($AA9&lt;=(Q$6+6),$AB9&gt;=Q$6),"実","外"),IF(AND($AA9&lt;=(Q$6+6),$AB9&gt;=Q$6),"計","")))))</f>
        <v/>
      </c>
      <c r="R9" s="93" t="str">
        <f>IF($Y9="","",IF(AND($AG9&gt;=R$6,$AG9&lt;=(R$6+6)),"◆",IF(AND($AE9&lt;=(R$6+6),$AF9&gt;=R$6),"遅",IF(AND($AC9&lt;=(R$6+6),$AD9&gt;=R$6),IF(AND($AA9&lt;=(R$6+6),$AB9&gt;=R$6),"実","外"),IF(AND($AA9&lt;=(R$6+6),$AB9&gt;=R$6),"計","")))))</f>
        <v/>
      </c>
      <c r="S9" s="93" t="str">
        <f>IF($Y9="","",IF(AND($AG9&gt;=S$6,$AG9&lt;=(S$6+6)),"◆",IF(AND($AE9&lt;=(S$6+6),$AF9&gt;=S$6),"遅",IF(AND($AC9&lt;=(S$6+6),$AD9&gt;=S$6),IF(AND($AA9&lt;=(S$6+6),$AB9&gt;=S$6),"実","外"),IF(AND($AA9&lt;=(S$6+6),$AB9&gt;=S$6),"計","")))))</f>
        <v/>
      </c>
      <c r="T9" s="93" t="str">
        <f>IF($Y9="","",IF(AND($AG9&gt;=T$6,$AG9&lt;=(T$6+6)),"◆",IF(AND($AE9&lt;=(T$6+6),$AF9&gt;=T$6),"遅",IF(AND($AC9&lt;=(T$6+6),$AD9&gt;=T$6),IF(AND($AA9&lt;=(T$6+6),$AB9&gt;=T$6),"実","外"),IF(AND($AA9&lt;=(T$6+6),$AB9&gt;=T$6),"計","")))))</f>
        <v/>
      </c>
      <c r="U9" s="93" t="str">
        <f>IF($Y9="","",IF(AND($AG9&gt;=U$6,$AG9&lt;=(U$6+6)),"◆",IF(AND($AE9&lt;=(U$6+6),$AF9&gt;=U$6),"遅",IF(AND($AC9&lt;=(U$6+6),$AD9&gt;=U$6),IF(AND($AA9&lt;=(U$6+6),$AB9&gt;=U$6),"実","外"),IF(AND($AA9&lt;=(U$6+6),$AB9&gt;=U$6),"計","")))))</f>
        <v/>
      </c>
      <c r="V9" s="93" t="str">
        <f>IF($Y9="","",IF(AND($AG9&gt;=V$6,$AG9&lt;=(V$6+6)),"◆",IF(AND($AE9&lt;=(V$6+6),$AF9&gt;=V$6),"遅",IF(AND($AC9&lt;=(V$6+6),$AD9&gt;=V$6),IF(AND($AA9&lt;=(V$6+6),$AB9&gt;=V$6),"実","外"),IF(AND($AA9&lt;=(V$6+6),$AB9&gt;=V$6),"計","")))))</f>
        <v/>
      </c>
      <c r="W9" s="93" t="str">
        <f>IF($Y9="","",IF(AND($AG9&gt;=W$6,$AG9&lt;=(W$6+6)),"◆",IF(AND($AE9&lt;=(W$6+6),$AF9&gt;=W$6),"遅",IF(AND($AC9&lt;=(W$6+6),$AD9&gt;=W$6),IF(AND($AA9&lt;=(W$6+6),$AB9&gt;=W$6),"実","外"),IF(AND($AA9&lt;=(W$6+6),$AB9&gt;=W$6),"計","")))))</f>
        <v/>
      </c>
      <c r="Y9">
        <f>IF(2&gt;COUNTIF(tblSteps[週別対象],1),"",IFERROR(MATCH(2,tblSteps[週別順位],0),""))</f>
        <v>22</v>
      </c>
      <c r="Z9" t="str">
        <f>IF($Y9="","",INDEX(tblSteps[案件ID],$Y9)&amp;"")</f>
        <v>A0023</v>
      </c>
      <c r="AA9">
        <f>IF($Y9="","",INDEX(tblSteps[計開],$Y9))</f>
        <v>46294</v>
      </c>
      <c r="AB9">
        <f>IF($Y9="","",INDEX(tblSteps[計終],$Y9))</f>
        <v>46296</v>
      </c>
      <c r="AC9">
        <f>IF($Y9="","",INDEX(tblSteps[実開],$Y9))</f>
        <v>46294</v>
      </c>
      <c r="AD9">
        <f>IF($Y9="","",INDEX(tblSteps[実終],$Y9))</f>
        <v>46300</v>
      </c>
      <c r="AE9">
        <f>IF($Y9="","",INDEX(tblSteps[遅開],$Y9))</f>
        <v>46297</v>
      </c>
      <c r="AF9">
        <f>IF($Y9="","",INDEX(tblSteps[遅終],$Y9))</f>
        <v>46300</v>
      </c>
      <c r="AG9">
        <f>IF($Y9="","",INDEX(tblSteps[納期値],$Y9))</f>
        <v>46297</v>
      </c>
    </row>
    <row r="10" ht="18" customHeight="1">
      <c r="A10" s="89" t="str">
        <f>IF($Y10="","",INDEX(tblSteps[工程ID],$Y10)&amp;"")</f>
        <v>S0023</v>
      </c>
      <c r="B10" s="88" t="str">
        <f>IF($Y10="","",IF($Z10=$Z9,"",$Z10&amp;" "&amp;INDEX(tblSteps[案件名],$Y10)))</f>
        <v/>
      </c>
      <c r="C10" s="88" t="str">
        <f>IF($Y10="","",INDEX(tblSteps[工程名],$Y10)&amp;"")</f>
        <v>報告書の提出</v>
      </c>
      <c r="D10" s="89" t="str">
        <f>IF($Y10="","",INDEX(tblSteps[担当],$Y10)&amp;"")</f>
        <v>渡辺</v>
      </c>
      <c r="E10" s="89" t="str">
        <f>IF($Y10="","",INDEX(tblSteps[状態],$Y10)&amp;"")</f>
        <v>未着手</v>
      </c>
      <c r="F10" s="90">
        <f>IF($Y10="","",IF(ISNUMBER(INDEX(tblSteps[進捗率],$Y10)),INDEX(tblSteps[進捗率],$Y10),""))</f>
        <v>0</v>
      </c>
      <c r="G10" s="91">
        <f>IF($Y10="","",IF(ISNUMBER(INDEX(tblSteps[計画開始日],$Y10)),INDEX(tblSteps[計画開始日],$Y10),"未入力"))</f>
        <v>46297.0</v>
      </c>
      <c r="H10" s="91">
        <f>IF($Y10="","",IF(ISNUMBER(INDEX(tblSteps[計画終了日],$Y10)),INDEX(tblSteps[計画終了日],$Y10),"未入力"))</f>
        <v>46297.0</v>
      </c>
      <c r="I10" s="91" t="str">
        <f>IF($Y10="","",IF(ISNUMBER(INDEX(tblSteps[完了見込日],$Y10)),INDEX(tblSteps[完了見込日],$Y10),""))</f>
        <v/>
      </c>
      <c r="J10" s="92" t="str">
        <f>IF($Y10="","",INDEX(tblSteps[注意短],$Y10)&amp;"")</f>
        <v>期限超過3日</v>
      </c>
      <c r="K10" s="93" t="str">
        <f>IF($Y10="","",IF(AND($AG10&gt;=K$6,$AG10&lt;=(K$6+6)),"◆",IF(AND($AE10&lt;=(K$6+6),$AF10&gt;=K$6),"遅",IF(AND($AC10&lt;=(K$6+6),$AD10&gt;=K$6),IF(AND($AA10&lt;=(K$6+6),$AB10&gt;=K$6),"実","外"),IF(AND($AA10&lt;=(K$6+6),$AB10&gt;=K$6),"計","")))))</f>
        <v/>
      </c>
      <c r="L10" s="93" t="str">
        <f>IF($Y10="","",IF(AND($AG10&gt;=L$6,$AG10&lt;=(L$6+6)),"◆",IF(AND($AE10&lt;=(L$6+6),$AF10&gt;=L$6),"遅",IF(AND($AC10&lt;=(L$6+6),$AD10&gt;=L$6),IF(AND($AA10&lt;=(L$6+6),$AB10&gt;=L$6),"実","外"),IF(AND($AA10&lt;=(L$6+6),$AB10&gt;=L$6),"計","")))))</f>
        <v>◆</v>
      </c>
      <c r="M10" s="93" t="str">
        <f>IF($Y10="","",IF(AND($AG10&gt;=M$6,$AG10&lt;=(M$6+6)),"◆",IF(AND($AE10&lt;=(M$6+6),$AF10&gt;=M$6),"遅",IF(AND($AC10&lt;=(M$6+6),$AD10&gt;=M$6),IF(AND($AA10&lt;=(M$6+6),$AB10&gt;=M$6),"実","外"),IF(AND($AA10&lt;=(M$6+6),$AB10&gt;=M$6),"計","")))))</f>
        <v>遅</v>
      </c>
      <c r="N10" s="93" t="str">
        <f>IF($Y10="","",IF(AND($AG10&gt;=N$6,$AG10&lt;=(N$6+6)),"◆",IF(AND($AE10&lt;=(N$6+6),$AF10&gt;=N$6),"遅",IF(AND($AC10&lt;=(N$6+6),$AD10&gt;=N$6),IF(AND($AA10&lt;=(N$6+6),$AB10&gt;=N$6),"実","外"),IF(AND($AA10&lt;=(N$6+6),$AB10&gt;=N$6),"計","")))))</f>
        <v/>
      </c>
      <c r="O10" s="93" t="str">
        <f>IF($Y10="","",IF(AND($AG10&gt;=O$6,$AG10&lt;=(O$6+6)),"◆",IF(AND($AE10&lt;=(O$6+6),$AF10&gt;=O$6),"遅",IF(AND($AC10&lt;=(O$6+6),$AD10&gt;=O$6),IF(AND($AA10&lt;=(O$6+6),$AB10&gt;=O$6),"実","外"),IF(AND($AA10&lt;=(O$6+6),$AB10&gt;=O$6),"計","")))))</f>
        <v/>
      </c>
      <c r="P10" s="93" t="str">
        <f>IF($Y10="","",IF(AND($AG10&gt;=P$6,$AG10&lt;=(P$6+6)),"◆",IF(AND($AE10&lt;=(P$6+6),$AF10&gt;=P$6),"遅",IF(AND($AC10&lt;=(P$6+6),$AD10&gt;=P$6),IF(AND($AA10&lt;=(P$6+6),$AB10&gt;=P$6),"実","外"),IF(AND($AA10&lt;=(P$6+6),$AB10&gt;=P$6),"計","")))))</f>
        <v/>
      </c>
      <c r="Q10" s="93" t="str">
        <f>IF($Y10="","",IF(AND($AG10&gt;=Q$6,$AG10&lt;=(Q$6+6)),"◆",IF(AND($AE10&lt;=(Q$6+6),$AF10&gt;=Q$6),"遅",IF(AND($AC10&lt;=(Q$6+6),$AD10&gt;=Q$6),IF(AND($AA10&lt;=(Q$6+6),$AB10&gt;=Q$6),"実","外"),IF(AND($AA10&lt;=(Q$6+6),$AB10&gt;=Q$6),"計","")))))</f>
        <v/>
      </c>
      <c r="R10" s="93" t="str">
        <f>IF($Y10="","",IF(AND($AG10&gt;=R$6,$AG10&lt;=(R$6+6)),"◆",IF(AND($AE10&lt;=(R$6+6),$AF10&gt;=R$6),"遅",IF(AND($AC10&lt;=(R$6+6),$AD10&gt;=R$6),IF(AND($AA10&lt;=(R$6+6),$AB10&gt;=R$6),"実","外"),IF(AND($AA10&lt;=(R$6+6),$AB10&gt;=R$6),"計","")))))</f>
        <v/>
      </c>
      <c r="S10" s="93" t="str">
        <f>IF($Y10="","",IF(AND($AG10&gt;=S$6,$AG10&lt;=(S$6+6)),"◆",IF(AND($AE10&lt;=(S$6+6),$AF10&gt;=S$6),"遅",IF(AND($AC10&lt;=(S$6+6),$AD10&gt;=S$6),IF(AND($AA10&lt;=(S$6+6),$AB10&gt;=S$6),"実","外"),IF(AND($AA10&lt;=(S$6+6),$AB10&gt;=S$6),"計","")))))</f>
        <v/>
      </c>
      <c r="T10" s="93" t="str">
        <f>IF($Y10="","",IF(AND($AG10&gt;=T$6,$AG10&lt;=(T$6+6)),"◆",IF(AND($AE10&lt;=(T$6+6),$AF10&gt;=T$6),"遅",IF(AND($AC10&lt;=(T$6+6),$AD10&gt;=T$6),IF(AND($AA10&lt;=(T$6+6),$AB10&gt;=T$6),"実","外"),IF(AND($AA10&lt;=(T$6+6),$AB10&gt;=T$6),"計","")))))</f>
        <v/>
      </c>
      <c r="U10" s="93" t="str">
        <f>IF($Y10="","",IF(AND($AG10&gt;=U$6,$AG10&lt;=(U$6+6)),"◆",IF(AND($AE10&lt;=(U$6+6),$AF10&gt;=U$6),"遅",IF(AND($AC10&lt;=(U$6+6),$AD10&gt;=U$6),IF(AND($AA10&lt;=(U$6+6),$AB10&gt;=U$6),"実","外"),IF(AND($AA10&lt;=(U$6+6),$AB10&gt;=U$6),"計","")))))</f>
        <v/>
      </c>
      <c r="V10" s="93" t="str">
        <f>IF($Y10="","",IF(AND($AG10&gt;=V$6,$AG10&lt;=(V$6+6)),"◆",IF(AND($AE10&lt;=(V$6+6),$AF10&gt;=V$6),"遅",IF(AND($AC10&lt;=(V$6+6),$AD10&gt;=V$6),IF(AND($AA10&lt;=(V$6+6),$AB10&gt;=V$6),"実","外"),IF(AND($AA10&lt;=(V$6+6),$AB10&gt;=V$6),"計","")))))</f>
        <v/>
      </c>
      <c r="W10" s="93" t="str">
        <f>IF($Y10="","",IF(AND($AG10&gt;=W$6,$AG10&lt;=(W$6+6)),"◆",IF(AND($AE10&lt;=(W$6+6),$AF10&gt;=W$6),"遅",IF(AND($AC10&lt;=(W$6+6),$AD10&gt;=W$6),IF(AND($AA10&lt;=(W$6+6),$AB10&gt;=W$6),"実","外"),IF(AND($AA10&lt;=(W$6+6),$AB10&gt;=W$6),"計","")))))</f>
        <v/>
      </c>
      <c r="Y10">
        <f>IF(3&gt;COUNTIF(tblSteps[週別対象],1),"",IFERROR(MATCH(3,tblSteps[週別順位],0),""))</f>
        <v>23</v>
      </c>
      <c r="Z10" t="str">
        <f>IF($Y10="","",INDEX(tblSteps[案件ID],$Y10)&amp;"")</f>
        <v>A0023</v>
      </c>
      <c r="AA10">
        <f>IF($Y10="","",INDEX(tblSteps[計開],$Y10))</f>
        <v>46297</v>
      </c>
      <c r="AB10">
        <f>IF($Y10="","",INDEX(tblSteps[計終],$Y10))</f>
        <v>46297</v>
      </c>
      <c r="AC10">
        <f>IF($Y10="","",INDEX(tblSteps[実開],$Y10))</f>
        <v>1</v>
      </c>
      <c r="AD10">
        <f>IF($Y10="","",INDEX(tblSteps[実終],$Y10))</f>
        <v>0</v>
      </c>
      <c r="AE10">
        <f>IF($Y10="","",INDEX(tblSteps[遅開],$Y10))</f>
        <v>46298</v>
      </c>
      <c r="AF10">
        <f>IF($Y10="","",INDEX(tblSteps[遅終],$Y10))</f>
        <v>46300</v>
      </c>
      <c r="AG10">
        <f>IF($Y10="","",INDEX(tblSteps[納期値],$Y10))</f>
        <v>46297</v>
      </c>
    </row>
    <row r="11" ht="18" customHeight="1">
      <c r="A11" s="89" t="str">
        <f>IF($Y11="","",INDEX(tblSteps[工程ID],$Y11)&amp;"")</f>
        <v>S0029</v>
      </c>
      <c r="B11" s="88" t="str">
        <f>IF($Y11="","",IF($Z11=$Z10,"",$Z11&amp;" "&amp;INDEX(tblSteps[案件名],$Y11)))</f>
        <v/>
      </c>
      <c r="C11" s="88" t="str">
        <f>IF($Y11="","",INDEX(tblSteps[工程名],$Y11)&amp;"")</f>
        <v>報告会</v>
      </c>
      <c r="D11" s="89" t="str">
        <f>IF($Y11="","",INDEX(tblSteps[担当],$Y11)&amp;"")</f>
        <v>渡辺</v>
      </c>
      <c r="E11" s="89" t="str">
        <f>IF($Y11="","",INDEX(tblSteps[状態],$Y11)&amp;"")</f>
        <v>未着手</v>
      </c>
      <c r="F11" s="90">
        <f>IF($Y11="","",IF(ISNUMBER(INDEX(tblSteps[進捗率],$Y11)),INDEX(tblSteps[進捗率],$Y11),""))</f>
        <v>0</v>
      </c>
      <c r="G11" s="91">
        <f>IF($Y11="","",IF(ISNUMBER(INDEX(tblSteps[計画開始日],$Y11)),INDEX(tblSteps[計画開始日],$Y11),"未入力"))</f>
        <v>46302.0</v>
      </c>
      <c r="H11" s="91">
        <f>IF($Y11="","",IF(ISNUMBER(INDEX(tblSteps[計画終了日],$Y11)),INDEX(tblSteps[計画終了日],$Y11),"未入力"))</f>
        <v>46302.0</v>
      </c>
      <c r="I11" s="91" t="str">
        <f>IF($Y11="","",IF(ISNUMBER(INDEX(tblSteps[完了見込日],$Y11)),INDEX(tblSteps[完了見込日],$Y11),""))</f>
        <v/>
      </c>
      <c r="J11" s="92" t="str">
        <f>IF($Y11="","",INDEX(tblSteps[注意短],$Y11)&amp;"")</f>
        <v>納期遅れ見込</v>
      </c>
      <c r="K11" s="93" t="str">
        <f>IF($Y11="","",IF(AND($AG11&gt;=K$6,$AG11&lt;=(K$6+6)),"◆",IF(AND($AE11&lt;=(K$6+6),$AF11&gt;=K$6),"遅",IF(AND($AC11&lt;=(K$6+6),$AD11&gt;=K$6),IF(AND($AA11&lt;=(K$6+6),$AB11&gt;=K$6),"実","外"),IF(AND($AA11&lt;=(K$6+6),$AB11&gt;=K$6),"計","")))))</f>
        <v/>
      </c>
      <c r="L11" s="93" t="str">
        <f>IF($Y11="","",IF(AND($AG11&gt;=L$6,$AG11&lt;=(L$6+6)),"◆",IF(AND($AE11&lt;=(L$6+6),$AF11&gt;=L$6),"遅",IF(AND($AC11&lt;=(L$6+6),$AD11&gt;=L$6),IF(AND($AA11&lt;=(L$6+6),$AB11&gt;=L$6),"実","外"),IF(AND($AA11&lt;=(L$6+6),$AB11&gt;=L$6),"計","")))))</f>
        <v>◆</v>
      </c>
      <c r="M11" s="93" t="str">
        <f>IF($Y11="","",IF(AND($AG11&gt;=M$6,$AG11&lt;=(M$6+6)),"◆",IF(AND($AE11&lt;=(M$6+6),$AF11&gt;=M$6),"遅",IF(AND($AC11&lt;=(M$6+6),$AD11&gt;=M$6),IF(AND($AA11&lt;=(M$6+6),$AB11&gt;=M$6),"実","外"),IF(AND($AA11&lt;=(M$6+6),$AB11&gt;=M$6),"計","")))))</f>
        <v>計</v>
      </c>
      <c r="N11" s="93" t="str">
        <f>IF($Y11="","",IF(AND($AG11&gt;=N$6,$AG11&lt;=(N$6+6)),"◆",IF(AND($AE11&lt;=(N$6+6),$AF11&gt;=N$6),"遅",IF(AND($AC11&lt;=(N$6+6),$AD11&gt;=N$6),IF(AND($AA11&lt;=(N$6+6),$AB11&gt;=N$6),"実","外"),IF(AND($AA11&lt;=(N$6+6),$AB11&gt;=N$6),"計","")))))</f>
        <v/>
      </c>
      <c r="O11" s="93" t="str">
        <f>IF($Y11="","",IF(AND($AG11&gt;=O$6,$AG11&lt;=(O$6+6)),"◆",IF(AND($AE11&lt;=(O$6+6),$AF11&gt;=O$6),"遅",IF(AND($AC11&lt;=(O$6+6),$AD11&gt;=O$6),IF(AND($AA11&lt;=(O$6+6),$AB11&gt;=O$6),"実","外"),IF(AND($AA11&lt;=(O$6+6),$AB11&gt;=O$6),"計","")))))</f>
        <v/>
      </c>
      <c r="P11" s="93" t="str">
        <f>IF($Y11="","",IF(AND($AG11&gt;=P$6,$AG11&lt;=(P$6+6)),"◆",IF(AND($AE11&lt;=(P$6+6),$AF11&gt;=P$6),"遅",IF(AND($AC11&lt;=(P$6+6),$AD11&gt;=P$6),IF(AND($AA11&lt;=(P$6+6),$AB11&gt;=P$6),"実","外"),IF(AND($AA11&lt;=(P$6+6),$AB11&gt;=P$6),"計","")))))</f>
        <v/>
      </c>
      <c r="Q11" s="93" t="str">
        <f>IF($Y11="","",IF(AND($AG11&gt;=Q$6,$AG11&lt;=(Q$6+6)),"◆",IF(AND($AE11&lt;=(Q$6+6),$AF11&gt;=Q$6),"遅",IF(AND($AC11&lt;=(Q$6+6),$AD11&gt;=Q$6),IF(AND($AA11&lt;=(Q$6+6),$AB11&gt;=Q$6),"実","外"),IF(AND($AA11&lt;=(Q$6+6),$AB11&gt;=Q$6),"計","")))))</f>
        <v/>
      </c>
      <c r="R11" s="93" t="str">
        <f>IF($Y11="","",IF(AND($AG11&gt;=R$6,$AG11&lt;=(R$6+6)),"◆",IF(AND($AE11&lt;=(R$6+6),$AF11&gt;=R$6),"遅",IF(AND($AC11&lt;=(R$6+6),$AD11&gt;=R$6),IF(AND($AA11&lt;=(R$6+6),$AB11&gt;=R$6),"実","外"),IF(AND($AA11&lt;=(R$6+6),$AB11&gt;=R$6),"計","")))))</f>
        <v/>
      </c>
      <c r="S11" s="93" t="str">
        <f>IF($Y11="","",IF(AND($AG11&gt;=S$6,$AG11&lt;=(S$6+6)),"◆",IF(AND($AE11&lt;=(S$6+6),$AF11&gt;=S$6),"遅",IF(AND($AC11&lt;=(S$6+6),$AD11&gt;=S$6),IF(AND($AA11&lt;=(S$6+6),$AB11&gt;=S$6),"実","外"),IF(AND($AA11&lt;=(S$6+6),$AB11&gt;=S$6),"計","")))))</f>
        <v/>
      </c>
      <c r="T11" s="93" t="str">
        <f>IF($Y11="","",IF(AND($AG11&gt;=T$6,$AG11&lt;=(T$6+6)),"◆",IF(AND($AE11&lt;=(T$6+6),$AF11&gt;=T$6),"遅",IF(AND($AC11&lt;=(T$6+6),$AD11&gt;=T$6),IF(AND($AA11&lt;=(T$6+6),$AB11&gt;=T$6),"実","外"),IF(AND($AA11&lt;=(T$6+6),$AB11&gt;=T$6),"計","")))))</f>
        <v/>
      </c>
      <c r="U11" s="93" t="str">
        <f>IF($Y11="","",IF(AND($AG11&gt;=U$6,$AG11&lt;=(U$6+6)),"◆",IF(AND($AE11&lt;=(U$6+6),$AF11&gt;=U$6),"遅",IF(AND($AC11&lt;=(U$6+6),$AD11&gt;=U$6),IF(AND($AA11&lt;=(U$6+6),$AB11&gt;=U$6),"実","外"),IF(AND($AA11&lt;=(U$6+6),$AB11&gt;=U$6),"計","")))))</f>
        <v/>
      </c>
      <c r="V11" s="93" t="str">
        <f>IF($Y11="","",IF(AND($AG11&gt;=V$6,$AG11&lt;=(V$6+6)),"◆",IF(AND($AE11&lt;=(V$6+6),$AF11&gt;=V$6),"遅",IF(AND($AC11&lt;=(V$6+6),$AD11&gt;=V$6),IF(AND($AA11&lt;=(V$6+6),$AB11&gt;=V$6),"実","外"),IF(AND($AA11&lt;=(V$6+6),$AB11&gt;=V$6),"計","")))))</f>
        <v/>
      </c>
      <c r="W11" s="93" t="str">
        <f>IF($Y11="","",IF(AND($AG11&gt;=W$6,$AG11&lt;=(W$6+6)),"◆",IF(AND($AE11&lt;=(W$6+6),$AF11&gt;=W$6),"遅",IF(AND($AC11&lt;=(W$6+6),$AD11&gt;=W$6),IF(AND($AA11&lt;=(W$6+6),$AB11&gt;=W$6),"実","外"),IF(AND($AA11&lt;=(W$6+6),$AB11&gt;=W$6),"計","")))))</f>
        <v/>
      </c>
      <c r="Y11">
        <f>IF(4&gt;COUNTIF(tblSteps[週別対象],1),"",IFERROR(MATCH(4,tblSteps[週別順位],0),""))</f>
        <v>29</v>
      </c>
      <c r="Z11" t="str">
        <f>IF($Y11="","",INDEX(tblSteps[案件ID],$Y11)&amp;"")</f>
        <v>A0023</v>
      </c>
      <c r="AA11">
        <f>IF($Y11="","",INDEX(tblSteps[計開],$Y11))</f>
        <v>46302</v>
      </c>
      <c r="AB11">
        <f>IF($Y11="","",INDEX(tblSteps[計終],$Y11))</f>
        <v>46302</v>
      </c>
      <c r="AC11">
        <f>IF($Y11="","",INDEX(tblSteps[実開],$Y11))</f>
        <v>1</v>
      </c>
      <c r="AD11">
        <f>IF($Y11="","",INDEX(tblSteps[実終],$Y11))</f>
        <v>0</v>
      </c>
      <c r="AE11">
        <f>IF($Y11="","",INDEX(tblSteps[遅開],$Y11))</f>
        <v>46303</v>
      </c>
      <c r="AF11">
        <f>IF($Y11="","",INDEX(tblSteps[遅終],$Y11))</f>
        <v>0</v>
      </c>
      <c r="AG11">
        <f>IF($Y11="","",INDEX(tblSteps[納期値],$Y11))</f>
        <v>46297</v>
      </c>
    </row>
    <row r="12" ht="18" customHeight="1">
      <c r="A12" s="89" t="str">
        <f>IF($Y12="","",INDEX(tblSteps[工程ID],$Y12)&amp;"")</f>
        <v>S0007</v>
      </c>
      <c r="B12" s="88" t="str">
        <f>IF($Y12="","",IF($Z12=$Z11,"",$Z12&amp;" "&amp;INDEX(tblSteps[案件名],$Y12)))</f>
        <v>A0020 スポット修理（搬送装置）</v>
      </c>
      <c r="C12" s="88" t="str">
        <f>IF($Y12="","",INDEX(tblSteps[工程名],$Y12)&amp;"")</f>
        <v>部品手配</v>
      </c>
      <c r="D12" s="89" t="str">
        <f>IF($Y12="","",INDEX(tblSteps[担当],$Y12)&amp;"")</f>
        <v>渡辺</v>
      </c>
      <c r="E12" s="89" t="str">
        <f>IF($Y12="","",INDEX(tblSteps[状態],$Y12)&amp;"")</f>
        <v>完了</v>
      </c>
      <c r="F12" s="90">
        <f>IF($Y12="","",IF(ISNUMBER(INDEX(tblSteps[進捗率],$Y12)),INDEX(tblSteps[進捗率],$Y12),""))</f>
        <v>1</v>
      </c>
      <c r="G12" s="91">
        <f>IF($Y12="","",IF(ISNUMBER(INDEX(tblSteps[計画開始日],$Y12)),INDEX(tblSteps[計画開始日],$Y12),"未入力"))</f>
        <v>46295.0</v>
      </c>
      <c r="H12" s="91">
        <f>IF($Y12="","",IF(ISNUMBER(INDEX(tblSteps[計画終了日],$Y12)),INDEX(tblSteps[計画終了日],$Y12),"未入力"))</f>
        <v>46297.0</v>
      </c>
      <c r="I12" s="91" t="str">
        <f>IF($Y12="","",IF(ISNUMBER(INDEX(tblSteps[完了見込日],$Y12)),INDEX(tblSteps[完了見込日],$Y12),""))</f>
        <v/>
      </c>
      <c r="J12" s="92" t="str">
        <f>IF($Y12="","",INDEX(tblSteps[注意短],$Y12)&amp;"")</f>
        <v>完了</v>
      </c>
      <c r="K12" s="93" t="str">
        <f>IF($Y12="","",IF(AND($AG12&gt;=K$6,$AG12&lt;=(K$6+6)),"◆",IF(AND($AE12&lt;=(K$6+6),$AF12&gt;=K$6),"遅",IF(AND($AC12&lt;=(K$6+6),$AD12&gt;=K$6),IF(AND($AA12&lt;=(K$6+6),$AB12&gt;=K$6),"実","外"),IF(AND($AA12&lt;=(K$6+6),$AB12&gt;=K$6),"計","")))))</f>
        <v/>
      </c>
      <c r="L12" s="93" t="str">
        <f>IF($Y12="","",IF(AND($AG12&gt;=L$6,$AG12&lt;=(L$6+6)),"◆",IF(AND($AE12&lt;=(L$6+6),$AF12&gt;=L$6),"遅",IF(AND($AC12&lt;=(L$6+6),$AD12&gt;=L$6),IF(AND($AA12&lt;=(L$6+6),$AB12&gt;=L$6),"実","外"),IF(AND($AA12&lt;=(L$6+6),$AB12&gt;=L$6),"計","")))))</f>
        <v>実</v>
      </c>
      <c r="M12" s="93" t="str">
        <f>IF($Y12="","",IF(AND($AG12&gt;=M$6,$AG12&lt;=(M$6+6)),"◆",IF(AND($AE12&lt;=(M$6+6),$AF12&gt;=M$6),"遅",IF(AND($AC12&lt;=(M$6+6),$AD12&gt;=M$6),IF(AND($AA12&lt;=(M$6+6),$AB12&gt;=M$6),"実","外"),IF(AND($AA12&lt;=(M$6+6),$AB12&gt;=M$6),"計","")))))</f>
        <v>◆</v>
      </c>
      <c r="N12" s="93" t="str">
        <f>IF($Y12="","",IF(AND($AG12&gt;=N$6,$AG12&lt;=(N$6+6)),"◆",IF(AND($AE12&lt;=(N$6+6),$AF12&gt;=N$6),"遅",IF(AND($AC12&lt;=(N$6+6),$AD12&gt;=N$6),IF(AND($AA12&lt;=(N$6+6),$AB12&gt;=N$6),"実","外"),IF(AND($AA12&lt;=(N$6+6),$AB12&gt;=N$6),"計","")))))</f>
        <v/>
      </c>
      <c r="O12" s="93" t="str">
        <f>IF($Y12="","",IF(AND($AG12&gt;=O$6,$AG12&lt;=(O$6+6)),"◆",IF(AND($AE12&lt;=(O$6+6),$AF12&gt;=O$6),"遅",IF(AND($AC12&lt;=(O$6+6),$AD12&gt;=O$6),IF(AND($AA12&lt;=(O$6+6),$AB12&gt;=O$6),"実","外"),IF(AND($AA12&lt;=(O$6+6),$AB12&gt;=O$6),"計","")))))</f>
        <v/>
      </c>
      <c r="P12" s="93" t="str">
        <f>IF($Y12="","",IF(AND($AG12&gt;=P$6,$AG12&lt;=(P$6+6)),"◆",IF(AND($AE12&lt;=(P$6+6),$AF12&gt;=P$6),"遅",IF(AND($AC12&lt;=(P$6+6),$AD12&gt;=P$6),IF(AND($AA12&lt;=(P$6+6),$AB12&gt;=P$6),"実","外"),IF(AND($AA12&lt;=(P$6+6),$AB12&gt;=P$6),"計","")))))</f>
        <v/>
      </c>
      <c r="Q12" s="93" t="str">
        <f>IF($Y12="","",IF(AND($AG12&gt;=Q$6,$AG12&lt;=(Q$6+6)),"◆",IF(AND($AE12&lt;=(Q$6+6),$AF12&gt;=Q$6),"遅",IF(AND($AC12&lt;=(Q$6+6),$AD12&gt;=Q$6),IF(AND($AA12&lt;=(Q$6+6),$AB12&gt;=Q$6),"実","外"),IF(AND($AA12&lt;=(Q$6+6),$AB12&gt;=Q$6),"計","")))))</f>
        <v/>
      </c>
      <c r="R12" s="93" t="str">
        <f>IF($Y12="","",IF(AND($AG12&gt;=R$6,$AG12&lt;=(R$6+6)),"◆",IF(AND($AE12&lt;=(R$6+6),$AF12&gt;=R$6),"遅",IF(AND($AC12&lt;=(R$6+6),$AD12&gt;=R$6),IF(AND($AA12&lt;=(R$6+6),$AB12&gt;=R$6),"実","外"),IF(AND($AA12&lt;=(R$6+6),$AB12&gt;=R$6),"計","")))))</f>
        <v/>
      </c>
      <c r="S12" s="93" t="str">
        <f>IF($Y12="","",IF(AND($AG12&gt;=S$6,$AG12&lt;=(S$6+6)),"◆",IF(AND($AE12&lt;=(S$6+6),$AF12&gt;=S$6),"遅",IF(AND($AC12&lt;=(S$6+6),$AD12&gt;=S$6),IF(AND($AA12&lt;=(S$6+6),$AB12&gt;=S$6),"実","外"),IF(AND($AA12&lt;=(S$6+6),$AB12&gt;=S$6),"計","")))))</f>
        <v/>
      </c>
      <c r="T12" s="93" t="str">
        <f>IF($Y12="","",IF(AND($AG12&gt;=T$6,$AG12&lt;=(T$6+6)),"◆",IF(AND($AE12&lt;=(T$6+6),$AF12&gt;=T$6),"遅",IF(AND($AC12&lt;=(T$6+6),$AD12&gt;=T$6),IF(AND($AA12&lt;=(T$6+6),$AB12&gt;=T$6),"実","外"),IF(AND($AA12&lt;=(T$6+6),$AB12&gt;=T$6),"計","")))))</f>
        <v/>
      </c>
      <c r="U12" s="93" t="str">
        <f>IF($Y12="","",IF(AND($AG12&gt;=U$6,$AG12&lt;=(U$6+6)),"◆",IF(AND($AE12&lt;=(U$6+6),$AF12&gt;=U$6),"遅",IF(AND($AC12&lt;=(U$6+6),$AD12&gt;=U$6),IF(AND($AA12&lt;=(U$6+6),$AB12&gt;=U$6),"実","外"),IF(AND($AA12&lt;=(U$6+6),$AB12&gt;=U$6),"計","")))))</f>
        <v/>
      </c>
      <c r="V12" s="93" t="str">
        <f>IF($Y12="","",IF(AND($AG12&gt;=V$6,$AG12&lt;=(V$6+6)),"◆",IF(AND($AE12&lt;=(V$6+6),$AF12&gt;=V$6),"遅",IF(AND($AC12&lt;=(V$6+6),$AD12&gt;=V$6),IF(AND($AA12&lt;=(V$6+6),$AB12&gt;=V$6),"実","外"),IF(AND($AA12&lt;=(V$6+6),$AB12&gt;=V$6),"計","")))))</f>
        <v/>
      </c>
      <c r="W12" s="93" t="str">
        <f>IF($Y12="","",IF(AND($AG12&gt;=W$6,$AG12&lt;=(W$6+6)),"◆",IF(AND($AE12&lt;=(W$6+6),$AF12&gt;=W$6),"遅",IF(AND($AC12&lt;=(W$6+6),$AD12&gt;=W$6),IF(AND($AA12&lt;=(W$6+6),$AB12&gt;=W$6),"実","外"),IF(AND($AA12&lt;=(W$6+6),$AB12&gt;=W$6),"計","")))))</f>
        <v/>
      </c>
      <c r="Y12">
        <f>IF(5&gt;COUNTIF(tblSteps[週別対象],1),"",IFERROR(MATCH(5,tblSteps[週別順位],0),""))</f>
        <v>7</v>
      </c>
      <c r="Z12" t="str">
        <f>IF($Y12="","",INDEX(tblSteps[案件ID],$Y12)&amp;"")</f>
        <v>A0020</v>
      </c>
      <c r="AA12">
        <f>IF($Y12="","",INDEX(tblSteps[計開],$Y12))</f>
        <v>46295</v>
      </c>
      <c r="AB12">
        <f>IF($Y12="","",INDEX(tblSteps[計終],$Y12))</f>
        <v>46297</v>
      </c>
      <c r="AC12">
        <f>IF($Y12="","",INDEX(tblSteps[実開],$Y12))</f>
        <v>46295</v>
      </c>
      <c r="AD12">
        <f>IF($Y12="","",INDEX(tblSteps[実終],$Y12))</f>
        <v>46297</v>
      </c>
      <c r="AE12">
        <f>IF($Y12="","",INDEX(tblSteps[遅開],$Y12))</f>
        <v>1</v>
      </c>
      <c r="AF12">
        <f>IF($Y12="","",INDEX(tblSteps[遅終],$Y12))</f>
        <v>0</v>
      </c>
      <c r="AG12">
        <f>IF($Y12="","",INDEX(tblSteps[納期値],$Y12))</f>
        <v>46304</v>
      </c>
    </row>
    <row r="13" ht="18" customHeight="1">
      <c r="A13" s="89" t="str">
        <f>IF($Y13="","",INDEX(tblSteps[工程ID],$Y13)&amp;"")</f>
        <v>S0008</v>
      </c>
      <c r="B13" s="88" t="str">
        <f>IF($Y13="","",IF($Z13=$Z12,"",$Z13&amp;" "&amp;INDEX(tblSteps[案件名],$Y13)))</f>
        <v/>
      </c>
      <c r="C13" s="88" t="str">
        <f>IF($Y13="","",INDEX(tblSteps[工程名],$Y13)&amp;"")</f>
        <v>修理作業</v>
      </c>
      <c r="D13" s="89" t="str">
        <f>IF($Y13="","",INDEX(tblSteps[担当],$Y13)&amp;"")</f>
        <v>伊藤</v>
      </c>
      <c r="E13" s="89" t="str">
        <f>IF($Y13="","",INDEX(tblSteps[状態],$Y13)&amp;"")</f>
        <v>進行中</v>
      </c>
      <c r="F13" s="90">
        <f>IF($Y13="","",IF(ISNUMBER(INDEX(tblSteps[進捗率],$Y13)),INDEX(tblSteps[進捗率],$Y13),""))</f>
        <v>0.3</v>
      </c>
      <c r="G13" s="91">
        <f>IF($Y13="","",IF(ISNUMBER(INDEX(tblSteps[計画開始日],$Y13)),INDEX(tblSteps[計画開始日],$Y13),"未入力"))</f>
        <v>46300.0</v>
      </c>
      <c r="H13" s="91">
        <f>IF($Y13="","",IF(ISNUMBER(INDEX(tblSteps[計画終了日],$Y13)),INDEX(tblSteps[計画終了日],$Y13),"未入力"))</f>
        <v>46300.0</v>
      </c>
      <c r="I13" s="91" t="str">
        <f>IF($Y13="","",IF(ISNUMBER(INDEX(tblSteps[完了見込日],$Y13)),INDEX(tblSteps[完了見込日],$Y13),""))</f>
        <v/>
      </c>
      <c r="J13" s="92" t="str">
        <f>IF($Y13="","",INDEX(tblSteps[注意短],$Y13)&amp;"")</f>
        <v>重複の可能性</v>
      </c>
      <c r="K13" s="93" t="str">
        <f>IF($Y13="","",IF(AND($AG13&gt;=K$6,$AG13&lt;=(K$6+6)),"◆",IF(AND($AE13&lt;=(K$6+6),$AF13&gt;=K$6),"遅",IF(AND($AC13&lt;=(K$6+6),$AD13&gt;=K$6),IF(AND($AA13&lt;=(K$6+6),$AB13&gt;=K$6),"実","外"),IF(AND($AA13&lt;=(K$6+6),$AB13&gt;=K$6),"計","")))))</f>
        <v/>
      </c>
      <c r="L13" s="93" t="str">
        <f>IF($Y13="","",IF(AND($AG13&gt;=L$6,$AG13&lt;=(L$6+6)),"◆",IF(AND($AE13&lt;=(L$6+6),$AF13&gt;=L$6),"遅",IF(AND($AC13&lt;=(L$6+6),$AD13&gt;=L$6),IF(AND($AA13&lt;=(L$6+6),$AB13&gt;=L$6),"実","外"),IF(AND($AA13&lt;=(L$6+6),$AB13&gt;=L$6),"計","")))))</f>
        <v/>
      </c>
      <c r="M13" s="93" t="str">
        <f>IF($Y13="","",IF(AND($AG13&gt;=M$6,$AG13&lt;=(M$6+6)),"◆",IF(AND($AE13&lt;=(M$6+6),$AF13&gt;=M$6),"遅",IF(AND($AC13&lt;=(M$6+6),$AD13&gt;=M$6),IF(AND($AA13&lt;=(M$6+6),$AB13&gt;=M$6),"実","外"),IF(AND($AA13&lt;=(M$6+6),$AB13&gt;=M$6),"計","")))))</f>
        <v>◆</v>
      </c>
      <c r="N13" s="93" t="str">
        <f>IF($Y13="","",IF(AND($AG13&gt;=N$6,$AG13&lt;=(N$6+6)),"◆",IF(AND($AE13&lt;=(N$6+6),$AF13&gt;=N$6),"遅",IF(AND($AC13&lt;=(N$6+6),$AD13&gt;=N$6),IF(AND($AA13&lt;=(N$6+6),$AB13&gt;=N$6),"実","外"),IF(AND($AA13&lt;=(N$6+6),$AB13&gt;=N$6),"計","")))))</f>
        <v/>
      </c>
      <c r="O13" s="93" t="str">
        <f>IF($Y13="","",IF(AND($AG13&gt;=O$6,$AG13&lt;=(O$6+6)),"◆",IF(AND($AE13&lt;=(O$6+6),$AF13&gt;=O$6),"遅",IF(AND($AC13&lt;=(O$6+6),$AD13&gt;=O$6),IF(AND($AA13&lt;=(O$6+6),$AB13&gt;=O$6),"実","外"),IF(AND($AA13&lt;=(O$6+6),$AB13&gt;=O$6),"計","")))))</f>
        <v/>
      </c>
      <c r="P13" s="93" t="str">
        <f>IF($Y13="","",IF(AND($AG13&gt;=P$6,$AG13&lt;=(P$6+6)),"◆",IF(AND($AE13&lt;=(P$6+6),$AF13&gt;=P$6),"遅",IF(AND($AC13&lt;=(P$6+6),$AD13&gt;=P$6),IF(AND($AA13&lt;=(P$6+6),$AB13&gt;=P$6),"実","外"),IF(AND($AA13&lt;=(P$6+6),$AB13&gt;=P$6),"計","")))))</f>
        <v/>
      </c>
      <c r="Q13" s="93" t="str">
        <f>IF($Y13="","",IF(AND($AG13&gt;=Q$6,$AG13&lt;=(Q$6+6)),"◆",IF(AND($AE13&lt;=(Q$6+6),$AF13&gt;=Q$6),"遅",IF(AND($AC13&lt;=(Q$6+6),$AD13&gt;=Q$6),IF(AND($AA13&lt;=(Q$6+6),$AB13&gt;=Q$6),"実","外"),IF(AND($AA13&lt;=(Q$6+6),$AB13&gt;=Q$6),"計","")))))</f>
        <v/>
      </c>
      <c r="R13" s="93" t="str">
        <f>IF($Y13="","",IF(AND($AG13&gt;=R$6,$AG13&lt;=(R$6+6)),"◆",IF(AND($AE13&lt;=(R$6+6),$AF13&gt;=R$6),"遅",IF(AND($AC13&lt;=(R$6+6),$AD13&gt;=R$6),IF(AND($AA13&lt;=(R$6+6),$AB13&gt;=R$6),"実","外"),IF(AND($AA13&lt;=(R$6+6),$AB13&gt;=R$6),"計","")))))</f>
        <v/>
      </c>
      <c r="S13" s="93" t="str">
        <f>IF($Y13="","",IF(AND($AG13&gt;=S$6,$AG13&lt;=(S$6+6)),"◆",IF(AND($AE13&lt;=(S$6+6),$AF13&gt;=S$6),"遅",IF(AND($AC13&lt;=(S$6+6),$AD13&gt;=S$6),IF(AND($AA13&lt;=(S$6+6),$AB13&gt;=S$6),"実","外"),IF(AND($AA13&lt;=(S$6+6),$AB13&gt;=S$6),"計","")))))</f>
        <v/>
      </c>
      <c r="T13" s="93" t="str">
        <f>IF($Y13="","",IF(AND($AG13&gt;=T$6,$AG13&lt;=(T$6+6)),"◆",IF(AND($AE13&lt;=(T$6+6),$AF13&gt;=T$6),"遅",IF(AND($AC13&lt;=(T$6+6),$AD13&gt;=T$6),IF(AND($AA13&lt;=(T$6+6),$AB13&gt;=T$6),"実","外"),IF(AND($AA13&lt;=(T$6+6),$AB13&gt;=T$6),"計","")))))</f>
        <v/>
      </c>
      <c r="U13" s="93" t="str">
        <f>IF($Y13="","",IF(AND($AG13&gt;=U$6,$AG13&lt;=(U$6+6)),"◆",IF(AND($AE13&lt;=(U$6+6),$AF13&gt;=U$6),"遅",IF(AND($AC13&lt;=(U$6+6),$AD13&gt;=U$6),IF(AND($AA13&lt;=(U$6+6),$AB13&gt;=U$6),"実","外"),IF(AND($AA13&lt;=(U$6+6),$AB13&gt;=U$6),"計","")))))</f>
        <v/>
      </c>
      <c r="V13" s="93" t="str">
        <f>IF($Y13="","",IF(AND($AG13&gt;=V$6,$AG13&lt;=(V$6+6)),"◆",IF(AND($AE13&lt;=(V$6+6),$AF13&gt;=V$6),"遅",IF(AND($AC13&lt;=(V$6+6),$AD13&gt;=V$6),IF(AND($AA13&lt;=(V$6+6),$AB13&gt;=V$6),"実","外"),IF(AND($AA13&lt;=(V$6+6),$AB13&gt;=V$6),"計","")))))</f>
        <v/>
      </c>
      <c r="W13" s="93" t="str">
        <f>IF($Y13="","",IF(AND($AG13&gt;=W$6,$AG13&lt;=(W$6+6)),"◆",IF(AND($AE13&lt;=(W$6+6),$AF13&gt;=W$6),"遅",IF(AND($AC13&lt;=(W$6+6),$AD13&gt;=W$6),IF(AND($AA13&lt;=(W$6+6),$AB13&gt;=W$6),"実","外"),IF(AND($AA13&lt;=(W$6+6),$AB13&gt;=W$6),"計","")))))</f>
        <v/>
      </c>
      <c r="Y13">
        <f>IF(6&gt;COUNTIF(tblSteps[週別対象],1),"",IFERROR(MATCH(6,tblSteps[週別順位],0),""))</f>
        <v>8</v>
      </c>
      <c r="Z13" t="str">
        <f>IF($Y13="","",INDEX(tblSteps[案件ID],$Y13)&amp;"")</f>
        <v>A0020</v>
      </c>
      <c r="AA13">
        <f>IF($Y13="","",INDEX(tblSteps[計開],$Y13))</f>
        <v>46300</v>
      </c>
      <c r="AB13">
        <f>IF($Y13="","",INDEX(tblSteps[計終],$Y13))</f>
        <v>46300</v>
      </c>
      <c r="AC13">
        <f>IF($Y13="","",INDEX(tblSteps[実開],$Y13))</f>
        <v>46300</v>
      </c>
      <c r="AD13">
        <f>IF($Y13="","",INDEX(tblSteps[実終],$Y13))</f>
        <v>46300</v>
      </c>
      <c r="AE13">
        <f>IF($Y13="","",INDEX(tblSteps[遅開],$Y13))</f>
        <v>46301</v>
      </c>
      <c r="AF13">
        <f>IF($Y13="","",INDEX(tblSteps[遅終],$Y13))</f>
        <v>0</v>
      </c>
      <c r="AG13">
        <f>IF($Y13="","",INDEX(tblSteps[納期値],$Y13))</f>
        <v>46304</v>
      </c>
    </row>
    <row r="14" ht="18" customHeight="1">
      <c r="A14" s="89" t="str">
        <f>IF($Y14="","",INDEX(tblSteps[工程ID],$Y14)&amp;"")</f>
        <v>S0024</v>
      </c>
      <c r="B14" s="88" t="str">
        <f>IF($Y14="","",IF($Z14=$Z13,"",$Z14&amp;" "&amp;INDEX(tblSteps[案件名],$Y14)))</f>
        <v/>
      </c>
      <c r="C14" s="88" t="str">
        <f>IF($Y14="","",INDEX(tblSteps[工程名],$Y14)&amp;"")</f>
        <v>追加見積の打合せ</v>
      </c>
      <c r="D14" s="89" t="str">
        <f>IF($Y14="","",INDEX(tblSteps[担当],$Y14)&amp;"")</f>
        <v>伊藤</v>
      </c>
      <c r="E14" s="89" t="str">
        <f>IF($Y14="","",INDEX(tblSteps[状態],$Y14)&amp;"")</f>
        <v>未着手</v>
      </c>
      <c r="F14" s="90">
        <f>IF($Y14="","",IF(ISNUMBER(INDEX(tblSteps[進捗率],$Y14)),INDEX(tblSteps[進捗率],$Y14),""))</f>
        <v>0</v>
      </c>
      <c r="G14" s="91">
        <f>IF($Y14="","",IF(ISNUMBER(INDEX(tblSteps[計画開始日],$Y14)),INDEX(tblSteps[計画開始日],$Y14),"未入力"))</f>
        <v>46300.0</v>
      </c>
      <c r="H14" s="91">
        <f>IF($Y14="","",IF(ISNUMBER(INDEX(tblSteps[計画終了日],$Y14)),INDEX(tblSteps[計画終了日],$Y14),"未入力"))</f>
        <v>46300.0</v>
      </c>
      <c r="I14" s="91" t="str">
        <f>IF($Y14="","",IF(ISNUMBER(INDEX(tblSteps[完了見込日],$Y14)),INDEX(tblSteps[完了見込日],$Y14),""))</f>
        <v/>
      </c>
      <c r="J14" s="92" t="str">
        <f>IF($Y14="","",INDEX(tblSteps[注意短],$Y14)&amp;"")</f>
        <v>重複の可能性</v>
      </c>
      <c r="K14" s="93" t="str">
        <f>IF($Y14="","",IF(AND($AG14&gt;=K$6,$AG14&lt;=(K$6+6)),"◆",IF(AND($AE14&lt;=(K$6+6),$AF14&gt;=K$6),"遅",IF(AND($AC14&lt;=(K$6+6),$AD14&gt;=K$6),IF(AND($AA14&lt;=(K$6+6),$AB14&gt;=K$6),"実","外"),IF(AND($AA14&lt;=(K$6+6),$AB14&gt;=K$6),"計","")))))</f>
        <v/>
      </c>
      <c r="L14" s="93" t="str">
        <f>IF($Y14="","",IF(AND($AG14&gt;=L$6,$AG14&lt;=(L$6+6)),"◆",IF(AND($AE14&lt;=(L$6+6),$AF14&gt;=L$6),"遅",IF(AND($AC14&lt;=(L$6+6),$AD14&gt;=L$6),IF(AND($AA14&lt;=(L$6+6),$AB14&gt;=L$6),"実","外"),IF(AND($AA14&lt;=(L$6+6),$AB14&gt;=L$6),"計","")))))</f>
        <v/>
      </c>
      <c r="M14" s="93" t="str">
        <f>IF($Y14="","",IF(AND($AG14&gt;=M$6,$AG14&lt;=(M$6+6)),"◆",IF(AND($AE14&lt;=(M$6+6),$AF14&gt;=M$6),"遅",IF(AND($AC14&lt;=(M$6+6),$AD14&gt;=M$6),IF(AND($AA14&lt;=(M$6+6),$AB14&gt;=M$6),"実","外"),IF(AND($AA14&lt;=(M$6+6),$AB14&gt;=M$6),"計","")))))</f>
        <v>◆</v>
      </c>
      <c r="N14" s="93" t="str">
        <f>IF($Y14="","",IF(AND($AG14&gt;=N$6,$AG14&lt;=(N$6+6)),"◆",IF(AND($AE14&lt;=(N$6+6),$AF14&gt;=N$6),"遅",IF(AND($AC14&lt;=(N$6+6),$AD14&gt;=N$6),IF(AND($AA14&lt;=(N$6+6),$AB14&gt;=N$6),"実","外"),IF(AND($AA14&lt;=(N$6+6),$AB14&gt;=N$6),"計","")))))</f>
        <v/>
      </c>
      <c r="O14" s="93" t="str">
        <f>IF($Y14="","",IF(AND($AG14&gt;=O$6,$AG14&lt;=(O$6+6)),"◆",IF(AND($AE14&lt;=(O$6+6),$AF14&gt;=O$6),"遅",IF(AND($AC14&lt;=(O$6+6),$AD14&gt;=O$6),IF(AND($AA14&lt;=(O$6+6),$AB14&gt;=O$6),"実","外"),IF(AND($AA14&lt;=(O$6+6),$AB14&gt;=O$6),"計","")))))</f>
        <v/>
      </c>
      <c r="P14" s="93" t="str">
        <f>IF($Y14="","",IF(AND($AG14&gt;=P$6,$AG14&lt;=(P$6+6)),"◆",IF(AND($AE14&lt;=(P$6+6),$AF14&gt;=P$6),"遅",IF(AND($AC14&lt;=(P$6+6),$AD14&gt;=P$6),IF(AND($AA14&lt;=(P$6+6),$AB14&gt;=P$6),"実","外"),IF(AND($AA14&lt;=(P$6+6),$AB14&gt;=P$6),"計","")))))</f>
        <v/>
      </c>
      <c r="Q14" s="93" t="str">
        <f>IF($Y14="","",IF(AND($AG14&gt;=Q$6,$AG14&lt;=(Q$6+6)),"◆",IF(AND($AE14&lt;=(Q$6+6),$AF14&gt;=Q$6),"遅",IF(AND($AC14&lt;=(Q$6+6),$AD14&gt;=Q$6),IF(AND($AA14&lt;=(Q$6+6),$AB14&gt;=Q$6),"実","外"),IF(AND($AA14&lt;=(Q$6+6),$AB14&gt;=Q$6),"計","")))))</f>
        <v/>
      </c>
      <c r="R14" s="93" t="str">
        <f>IF($Y14="","",IF(AND($AG14&gt;=R$6,$AG14&lt;=(R$6+6)),"◆",IF(AND($AE14&lt;=(R$6+6),$AF14&gt;=R$6),"遅",IF(AND($AC14&lt;=(R$6+6),$AD14&gt;=R$6),IF(AND($AA14&lt;=(R$6+6),$AB14&gt;=R$6),"実","外"),IF(AND($AA14&lt;=(R$6+6),$AB14&gt;=R$6),"計","")))))</f>
        <v/>
      </c>
      <c r="S14" s="93" t="str">
        <f>IF($Y14="","",IF(AND($AG14&gt;=S$6,$AG14&lt;=(S$6+6)),"◆",IF(AND($AE14&lt;=(S$6+6),$AF14&gt;=S$6),"遅",IF(AND($AC14&lt;=(S$6+6),$AD14&gt;=S$6),IF(AND($AA14&lt;=(S$6+6),$AB14&gt;=S$6),"実","外"),IF(AND($AA14&lt;=(S$6+6),$AB14&gt;=S$6),"計","")))))</f>
        <v/>
      </c>
      <c r="T14" s="93" t="str">
        <f>IF($Y14="","",IF(AND($AG14&gt;=T$6,$AG14&lt;=(T$6+6)),"◆",IF(AND($AE14&lt;=(T$6+6),$AF14&gt;=T$6),"遅",IF(AND($AC14&lt;=(T$6+6),$AD14&gt;=T$6),IF(AND($AA14&lt;=(T$6+6),$AB14&gt;=T$6),"実","外"),IF(AND($AA14&lt;=(T$6+6),$AB14&gt;=T$6),"計","")))))</f>
        <v/>
      </c>
      <c r="U14" s="93" t="str">
        <f>IF($Y14="","",IF(AND($AG14&gt;=U$6,$AG14&lt;=(U$6+6)),"◆",IF(AND($AE14&lt;=(U$6+6),$AF14&gt;=U$6),"遅",IF(AND($AC14&lt;=(U$6+6),$AD14&gt;=U$6),IF(AND($AA14&lt;=(U$6+6),$AB14&gt;=U$6),"実","外"),IF(AND($AA14&lt;=(U$6+6),$AB14&gt;=U$6),"計","")))))</f>
        <v/>
      </c>
      <c r="V14" s="93" t="str">
        <f>IF($Y14="","",IF(AND($AG14&gt;=V$6,$AG14&lt;=(V$6+6)),"◆",IF(AND($AE14&lt;=(V$6+6),$AF14&gt;=V$6),"遅",IF(AND($AC14&lt;=(V$6+6),$AD14&gt;=V$6),IF(AND($AA14&lt;=(V$6+6),$AB14&gt;=V$6),"実","外"),IF(AND($AA14&lt;=(V$6+6),$AB14&gt;=V$6),"計","")))))</f>
        <v/>
      </c>
      <c r="W14" s="93" t="str">
        <f>IF($Y14="","",IF(AND($AG14&gt;=W$6,$AG14&lt;=(W$6+6)),"◆",IF(AND($AE14&lt;=(W$6+6),$AF14&gt;=W$6),"遅",IF(AND($AC14&lt;=(W$6+6),$AD14&gt;=W$6),IF(AND($AA14&lt;=(W$6+6),$AB14&gt;=W$6),"実","外"),IF(AND($AA14&lt;=(W$6+6),$AB14&gt;=W$6),"計","")))))</f>
        <v/>
      </c>
      <c r="Y14">
        <f>IF(7&gt;COUNTIF(tblSteps[週別対象],1),"",IFERROR(MATCH(7,tblSteps[週別順位],0),""))</f>
        <v>24</v>
      </c>
      <c r="Z14" t="str">
        <f>IF($Y14="","",INDEX(tblSteps[案件ID],$Y14)&amp;"")</f>
        <v>A0020</v>
      </c>
      <c r="AA14">
        <f>IF($Y14="","",INDEX(tblSteps[計開],$Y14))</f>
        <v>46300</v>
      </c>
      <c r="AB14">
        <f>IF($Y14="","",INDEX(tblSteps[計終],$Y14))</f>
        <v>46300</v>
      </c>
      <c r="AC14">
        <f>IF($Y14="","",INDEX(tblSteps[実開],$Y14))</f>
        <v>1</v>
      </c>
      <c r="AD14">
        <f>IF($Y14="","",INDEX(tblSteps[実終],$Y14))</f>
        <v>0</v>
      </c>
      <c r="AE14">
        <f>IF($Y14="","",INDEX(tblSteps[遅開],$Y14))</f>
        <v>46301</v>
      </c>
      <c r="AF14">
        <f>IF($Y14="","",INDEX(tblSteps[遅終],$Y14))</f>
        <v>0</v>
      </c>
      <c r="AG14">
        <f>IF($Y14="","",INDEX(tblSteps[納期値],$Y14))</f>
        <v>46304</v>
      </c>
    </row>
    <row r="15" ht="18" customHeight="1">
      <c r="A15" s="89" t="str">
        <f>IF($Y15="","",INDEX(tblSteps[工程ID],$Y15)&amp;"")</f>
        <v>S0009</v>
      </c>
      <c r="B15" s="88" t="str">
        <f>IF($Y15="","",IF($Z15=$Z14,"",$Z15&amp;" "&amp;INDEX(tblSteps[案件名],$Y15)))</f>
        <v/>
      </c>
      <c r="C15" s="88" t="str">
        <f>IF($Y15="","",INDEX(tblSteps[工程名],$Y15)&amp;"")</f>
        <v>動作確認・報告書</v>
      </c>
      <c r="D15" s="89" t="str">
        <f>IF($Y15="","",INDEX(tblSteps[担当],$Y15)&amp;"")</f>
        <v>伊藤</v>
      </c>
      <c r="E15" s="89" t="str">
        <f>IF($Y15="","",INDEX(tblSteps[状態],$Y15)&amp;"")</f>
        <v>未着手</v>
      </c>
      <c r="F15" s="90">
        <f>IF($Y15="","",IF(ISNUMBER(INDEX(tblSteps[進捗率],$Y15)),INDEX(tblSteps[進捗率],$Y15),""))</f>
        <v>0</v>
      </c>
      <c r="G15" s="91">
        <f>IF($Y15="","",IF(ISNUMBER(INDEX(tblSteps[計画開始日],$Y15)),INDEX(tblSteps[計画開始日],$Y15),"未入力"))</f>
        <v>46301.0</v>
      </c>
      <c r="H15" s="91">
        <f>IF($Y15="","",IF(ISNUMBER(INDEX(tblSteps[計画終了日],$Y15)),INDEX(tblSteps[計画終了日],$Y15),"未入力"))</f>
        <v>46303.0</v>
      </c>
      <c r="I15" s="91" t="str">
        <f>IF($Y15="","",IF(ISNUMBER(INDEX(tblSteps[完了見込日],$Y15)),INDEX(tblSteps[完了見込日],$Y15),""))</f>
        <v/>
      </c>
      <c r="J15" s="92" t="str">
        <f>IF($Y15="","",INDEX(tblSteps[注意短],$Y15)&amp;"")</f>
        <v/>
      </c>
      <c r="K15" s="93" t="str">
        <f>IF($Y15="","",IF(AND($AG15&gt;=K$6,$AG15&lt;=(K$6+6)),"◆",IF(AND($AE15&lt;=(K$6+6),$AF15&gt;=K$6),"遅",IF(AND($AC15&lt;=(K$6+6),$AD15&gt;=K$6),IF(AND($AA15&lt;=(K$6+6),$AB15&gt;=K$6),"実","外"),IF(AND($AA15&lt;=(K$6+6),$AB15&gt;=K$6),"計","")))))</f>
        <v/>
      </c>
      <c r="L15" s="93" t="str">
        <f>IF($Y15="","",IF(AND($AG15&gt;=L$6,$AG15&lt;=(L$6+6)),"◆",IF(AND($AE15&lt;=(L$6+6),$AF15&gt;=L$6),"遅",IF(AND($AC15&lt;=(L$6+6),$AD15&gt;=L$6),IF(AND($AA15&lt;=(L$6+6),$AB15&gt;=L$6),"実","外"),IF(AND($AA15&lt;=(L$6+6),$AB15&gt;=L$6),"計","")))))</f>
        <v/>
      </c>
      <c r="M15" s="93" t="str">
        <f>IF($Y15="","",IF(AND($AG15&gt;=M$6,$AG15&lt;=(M$6+6)),"◆",IF(AND($AE15&lt;=(M$6+6),$AF15&gt;=M$6),"遅",IF(AND($AC15&lt;=(M$6+6),$AD15&gt;=M$6),IF(AND($AA15&lt;=(M$6+6),$AB15&gt;=M$6),"実","外"),IF(AND($AA15&lt;=(M$6+6),$AB15&gt;=M$6),"計","")))))</f>
        <v>◆</v>
      </c>
      <c r="N15" s="93" t="str">
        <f>IF($Y15="","",IF(AND($AG15&gt;=N$6,$AG15&lt;=(N$6+6)),"◆",IF(AND($AE15&lt;=(N$6+6),$AF15&gt;=N$6),"遅",IF(AND($AC15&lt;=(N$6+6),$AD15&gt;=N$6),IF(AND($AA15&lt;=(N$6+6),$AB15&gt;=N$6),"実","外"),IF(AND($AA15&lt;=(N$6+6),$AB15&gt;=N$6),"計","")))))</f>
        <v/>
      </c>
      <c r="O15" s="93" t="str">
        <f>IF($Y15="","",IF(AND($AG15&gt;=O$6,$AG15&lt;=(O$6+6)),"◆",IF(AND($AE15&lt;=(O$6+6),$AF15&gt;=O$6),"遅",IF(AND($AC15&lt;=(O$6+6),$AD15&gt;=O$6),IF(AND($AA15&lt;=(O$6+6),$AB15&gt;=O$6),"実","外"),IF(AND($AA15&lt;=(O$6+6),$AB15&gt;=O$6),"計","")))))</f>
        <v/>
      </c>
      <c r="P15" s="93" t="str">
        <f>IF($Y15="","",IF(AND($AG15&gt;=P$6,$AG15&lt;=(P$6+6)),"◆",IF(AND($AE15&lt;=(P$6+6),$AF15&gt;=P$6),"遅",IF(AND($AC15&lt;=(P$6+6),$AD15&gt;=P$6),IF(AND($AA15&lt;=(P$6+6),$AB15&gt;=P$6),"実","外"),IF(AND($AA15&lt;=(P$6+6),$AB15&gt;=P$6),"計","")))))</f>
        <v/>
      </c>
      <c r="Q15" s="93" t="str">
        <f>IF($Y15="","",IF(AND($AG15&gt;=Q$6,$AG15&lt;=(Q$6+6)),"◆",IF(AND($AE15&lt;=(Q$6+6),$AF15&gt;=Q$6),"遅",IF(AND($AC15&lt;=(Q$6+6),$AD15&gt;=Q$6),IF(AND($AA15&lt;=(Q$6+6),$AB15&gt;=Q$6),"実","外"),IF(AND($AA15&lt;=(Q$6+6),$AB15&gt;=Q$6),"計","")))))</f>
        <v/>
      </c>
      <c r="R15" s="93" t="str">
        <f>IF($Y15="","",IF(AND($AG15&gt;=R$6,$AG15&lt;=(R$6+6)),"◆",IF(AND($AE15&lt;=(R$6+6),$AF15&gt;=R$6),"遅",IF(AND($AC15&lt;=(R$6+6),$AD15&gt;=R$6),IF(AND($AA15&lt;=(R$6+6),$AB15&gt;=R$6),"実","外"),IF(AND($AA15&lt;=(R$6+6),$AB15&gt;=R$6),"計","")))))</f>
        <v/>
      </c>
      <c r="S15" s="93" t="str">
        <f>IF($Y15="","",IF(AND($AG15&gt;=S$6,$AG15&lt;=(S$6+6)),"◆",IF(AND($AE15&lt;=(S$6+6),$AF15&gt;=S$6),"遅",IF(AND($AC15&lt;=(S$6+6),$AD15&gt;=S$6),IF(AND($AA15&lt;=(S$6+6),$AB15&gt;=S$6),"実","外"),IF(AND($AA15&lt;=(S$6+6),$AB15&gt;=S$6),"計","")))))</f>
        <v/>
      </c>
      <c r="T15" s="93" t="str">
        <f>IF($Y15="","",IF(AND($AG15&gt;=T$6,$AG15&lt;=(T$6+6)),"◆",IF(AND($AE15&lt;=(T$6+6),$AF15&gt;=T$6),"遅",IF(AND($AC15&lt;=(T$6+6),$AD15&gt;=T$6),IF(AND($AA15&lt;=(T$6+6),$AB15&gt;=T$6),"実","外"),IF(AND($AA15&lt;=(T$6+6),$AB15&gt;=T$6),"計","")))))</f>
        <v/>
      </c>
      <c r="U15" s="93" t="str">
        <f>IF($Y15="","",IF(AND($AG15&gt;=U$6,$AG15&lt;=(U$6+6)),"◆",IF(AND($AE15&lt;=(U$6+6),$AF15&gt;=U$6),"遅",IF(AND($AC15&lt;=(U$6+6),$AD15&gt;=U$6),IF(AND($AA15&lt;=(U$6+6),$AB15&gt;=U$6),"実","外"),IF(AND($AA15&lt;=(U$6+6),$AB15&gt;=U$6),"計","")))))</f>
        <v/>
      </c>
      <c r="V15" s="93" t="str">
        <f>IF($Y15="","",IF(AND($AG15&gt;=V$6,$AG15&lt;=(V$6+6)),"◆",IF(AND($AE15&lt;=(V$6+6),$AF15&gt;=V$6),"遅",IF(AND($AC15&lt;=(V$6+6),$AD15&gt;=V$6),IF(AND($AA15&lt;=(V$6+6),$AB15&gt;=V$6),"実","外"),IF(AND($AA15&lt;=(V$6+6),$AB15&gt;=V$6),"計","")))))</f>
        <v/>
      </c>
      <c r="W15" s="93" t="str">
        <f>IF($Y15="","",IF(AND($AG15&gt;=W$6,$AG15&lt;=(W$6+6)),"◆",IF(AND($AE15&lt;=(W$6+6),$AF15&gt;=W$6),"遅",IF(AND($AC15&lt;=(W$6+6),$AD15&gt;=W$6),IF(AND($AA15&lt;=(W$6+6),$AB15&gt;=W$6),"実","外"),IF(AND($AA15&lt;=(W$6+6),$AB15&gt;=W$6),"計","")))))</f>
        <v/>
      </c>
      <c r="Y15">
        <f>IF(8&gt;COUNTIF(tblSteps[週別対象],1),"",IFERROR(MATCH(8,tblSteps[週別順位],0),""))</f>
        <v>9</v>
      </c>
      <c r="Z15" t="str">
        <f>IF($Y15="","",INDEX(tblSteps[案件ID],$Y15)&amp;"")</f>
        <v>A0020</v>
      </c>
      <c r="AA15">
        <f>IF($Y15="","",INDEX(tblSteps[計開],$Y15))</f>
        <v>46301</v>
      </c>
      <c r="AB15">
        <f>IF($Y15="","",INDEX(tblSteps[計終],$Y15))</f>
        <v>46303</v>
      </c>
      <c r="AC15">
        <f>IF($Y15="","",INDEX(tblSteps[実開],$Y15))</f>
        <v>1</v>
      </c>
      <c r="AD15">
        <f>IF($Y15="","",INDEX(tblSteps[実終],$Y15))</f>
        <v>0</v>
      </c>
      <c r="AE15">
        <f>IF($Y15="","",INDEX(tblSteps[遅開],$Y15))</f>
        <v>46304</v>
      </c>
      <c r="AF15">
        <f>IF($Y15="","",INDEX(tblSteps[遅終],$Y15))</f>
        <v>0</v>
      </c>
      <c r="AG15">
        <f>IF($Y15="","",INDEX(tblSteps[納期値],$Y15))</f>
        <v>46304</v>
      </c>
    </row>
    <row r="16" ht="18" customHeight="1">
      <c r="A16" s="89" t="str">
        <f>IF($Y16="","",INDEX(tblSteps[工程ID],$Y16)&amp;"")</f>
        <v>S0002</v>
      </c>
      <c r="B16" s="88" t="str">
        <f>IF($Y16="","",IF($Z16=$Z15,"",$Z16&amp;" "&amp;INDEX(tblSteps[案件名],$Y16)))</f>
        <v>A0008 工作機械の搬入・据付</v>
      </c>
      <c r="C16" s="88" t="str">
        <f>IF($Y16="","",INDEX(tblSteps[工程名],$Y16)&amp;"")</f>
        <v>搬入計画書の作成</v>
      </c>
      <c r="D16" s="89" t="str">
        <f>IF($Y16="","",INDEX(tblSteps[担当],$Y16)&amp;"")</f>
        <v>高橋</v>
      </c>
      <c r="E16" s="89" t="str">
        <f>IF($Y16="","",INDEX(tblSteps[状態],$Y16)&amp;"")</f>
        <v>完了</v>
      </c>
      <c r="F16" s="90">
        <f>IF($Y16="","",IF(ISNUMBER(INDEX(tblSteps[進捗率],$Y16)),INDEX(tblSteps[進捗率],$Y16),""))</f>
        <v>1</v>
      </c>
      <c r="G16" s="91">
        <f>IF($Y16="","",IF(ISNUMBER(INDEX(tblSteps[計画開始日],$Y16)),INDEX(tblSteps[計画開始日],$Y16),"未入力"))</f>
        <v>46281.0</v>
      </c>
      <c r="H16" s="91">
        <f>IF($Y16="","",IF(ISNUMBER(INDEX(tblSteps[計画終了日],$Y16)),INDEX(tblSteps[計画終了日],$Y16),"未入力"))</f>
        <v>46287.0</v>
      </c>
      <c r="I16" s="91" t="str">
        <f>IF($Y16="","",IF(ISNUMBER(INDEX(tblSteps[完了見込日],$Y16)),INDEX(tblSteps[完了見込日],$Y16),""))</f>
        <v/>
      </c>
      <c r="J16" s="92" t="str">
        <f>IF($Y16="","",INDEX(tblSteps[注意短],$Y16)&amp;"")</f>
        <v>完了遅延2日</v>
      </c>
      <c r="K16" s="93" t="str">
        <f>IF($Y16="","",IF(AND($AG16&gt;=K$6,$AG16&lt;=(K$6+6)),"◆",IF(AND($AE16&lt;=(K$6+6),$AF16&gt;=K$6),"遅",IF(AND($AC16&lt;=(K$6+6),$AD16&gt;=K$6),IF(AND($AA16&lt;=(K$6+6),$AB16&gt;=K$6),"実","外"),IF(AND($AA16&lt;=(K$6+6),$AB16&gt;=K$6),"計","")))))</f>
        <v>実</v>
      </c>
      <c r="L16" s="93" t="str">
        <f>IF($Y16="","",IF(AND($AG16&gt;=L$6,$AG16&lt;=(L$6+6)),"◆",IF(AND($AE16&lt;=(L$6+6),$AF16&gt;=L$6),"遅",IF(AND($AC16&lt;=(L$6+6),$AD16&gt;=L$6),IF(AND($AA16&lt;=(L$6+6),$AB16&gt;=L$6),"実","外"),IF(AND($AA16&lt;=(L$6+6),$AB16&gt;=L$6),"計","")))))</f>
        <v/>
      </c>
      <c r="M16" s="93" t="str">
        <f>IF($Y16="","",IF(AND($AG16&gt;=M$6,$AG16&lt;=(M$6+6)),"◆",IF(AND($AE16&lt;=(M$6+6),$AF16&gt;=M$6),"遅",IF(AND($AC16&lt;=(M$6+6),$AD16&gt;=M$6),IF(AND($AA16&lt;=(M$6+6),$AB16&gt;=M$6),"実","外"),IF(AND($AA16&lt;=(M$6+6),$AB16&gt;=M$6),"計","")))))</f>
        <v/>
      </c>
      <c r="N16" s="93" t="str">
        <f>IF($Y16="","",IF(AND($AG16&gt;=N$6,$AG16&lt;=(N$6+6)),"◆",IF(AND($AE16&lt;=(N$6+6),$AF16&gt;=N$6),"遅",IF(AND($AC16&lt;=(N$6+6),$AD16&gt;=N$6),IF(AND($AA16&lt;=(N$6+6),$AB16&gt;=N$6),"実","外"),IF(AND($AA16&lt;=(N$6+6),$AB16&gt;=N$6),"計","")))))</f>
        <v>◆</v>
      </c>
      <c r="O16" s="93" t="str">
        <f>IF($Y16="","",IF(AND($AG16&gt;=O$6,$AG16&lt;=(O$6+6)),"◆",IF(AND($AE16&lt;=(O$6+6),$AF16&gt;=O$6),"遅",IF(AND($AC16&lt;=(O$6+6),$AD16&gt;=O$6),IF(AND($AA16&lt;=(O$6+6),$AB16&gt;=O$6),"実","外"),IF(AND($AA16&lt;=(O$6+6),$AB16&gt;=O$6),"計","")))))</f>
        <v/>
      </c>
      <c r="P16" s="93" t="str">
        <f>IF($Y16="","",IF(AND($AG16&gt;=P$6,$AG16&lt;=(P$6+6)),"◆",IF(AND($AE16&lt;=(P$6+6),$AF16&gt;=P$6),"遅",IF(AND($AC16&lt;=(P$6+6),$AD16&gt;=P$6),IF(AND($AA16&lt;=(P$6+6),$AB16&gt;=P$6),"実","外"),IF(AND($AA16&lt;=(P$6+6),$AB16&gt;=P$6),"計","")))))</f>
        <v/>
      </c>
      <c r="Q16" s="93" t="str">
        <f>IF($Y16="","",IF(AND($AG16&gt;=Q$6,$AG16&lt;=(Q$6+6)),"◆",IF(AND($AE16&lt;=(Q$6+6),$AF16&gt;=Q$6),"遅",IF(AND($AC16&lt;=(Q$6+6),$AD16&gt;=Q$6),IF(AND($AA16&lt;=(Q$6+6),$AB16&gt;=Q$6),"実","外"),IF(AND($AA16&lt;=(Q$6+6),$AB16&gt;=Q$6),"計","")))))</f>
        <v/>
      </c>
      <c r="R16" s="93" t="str">
        <f>IF($Y16="","",IF(AND($AG16&gt;=R$6,$AG16&lt;=(R$6+6)),"◆",IF(AND($AE16&lt;=(R$6+6),$AF16&gt;=R$6),"遅",IF(AND($AC16&lt;=(R$6+6),$AD16&gt;=R$6),IF(AND($AA16&lt;=(R$6+6),$AB16&gt;=R$6),"実","外"),IF(AND($AA16&lt;=(R$6+6),$AB16&gt;=R$6),"計","")))))</f>
        <v/>
      </c>
      <c r="S16" s="93" t="str">
        <f>IF($Y16="","",IF(AND($AG16&gt;=S$6,$AG16&lt;=(S$6+6)),"◆",IF(AND($AE16&lt;=(S$6+6),$AF16&gt;=S$6),"遅",IF(AND($AC16&lt;=(S$6+6),$AD16&gt;=S$6),IF(AND($AA16&lt;=(S$6+6),$AB16&gt;=S$6),"実","外"),IF(AND($AA16&lt;=(S$6+6),$AB16&gt;=S$6),"計","")))))</f>
        <v/>
      </c>
      <c r="T16" s="93" t="str">
        <f>IF($Y16="","",IF(AND($AG16&gt;=T$6,$AG16&lt;=(T$6+6)),"◆",IF(AND($AE16&lt;=(T$6+6),$AF16&gt;=T$6),"遅",IF(AND($AC16&lt;=(T$6+6),$AD16&gt;=T$6),IF(AND($AA16&lt;=(T$6+6),$AB16&gt;=T$6),"実","外"),IF(AND($AA16&lt;=(T$6+6),$AB16&gt;=T$6),"計","")))))</f>
        <v/>
      </c>
      <c r="U16" s="93" t="str">
        <f>IF($Y16="","",IF(AND($AG16&gt;=U$6,$AG16&lt;=(U$6+6)),"◆",IF(AND($AE16&lt;=(U$6+6),$AF16&gt;=U$6),"遅",IF(AND($AC16&lt;=(U$6+6),$AD16&gt;=U$6),IF(AND($AA16&lt;=(U$6+6),$AB16&gt;=U$6),"実","外"),IF(AND($AA16&lt;=(U$6+6),$AB16&gt;=U$6),"計","")))))</f>
        <v/>
      </c>
      <c r="V16" s="93" t="str">
        <f>IF($Y16="","",IF(AND($AG16&gt;=V$6,$AG16&lt;=(V$6+6)),"◆",IF(AND($AE16&lt;=(V$6+6),$AF16&gt;=V$6),"遅",IF(AND($AC16&lt;=(V$6+6),$AD16&gt;=V$6),IF(AND($AA16&lt;=(V$6+6),$AB16&gt;=V$6),"実","外"),IF(AND($AA16&lt;=(V$6+6),$AB16&gt;=V$6),"計","")))))</f>
        <v/>
      </c>
      <c r="W16" s="93" t="str">
        <f>IF($Y16="","",IF(AND($AG16&gt;=W$6,$AG16&lt;=(W$6+6)),"◆",IF(AND($AE16&lt;=(W$6+6),$AF16&gt;=W$6),"遅",IF(AND($AC16&lt;=(W$6+6),$AD16&gt;=W$6),IF(AND($AA16&lt;=(W$6+6),$AB16&gt;=W$6),"実","外"),IF(AND($AA16&lt;=(W$6+6),$AB16&gt;=W$6),"計","")))))</f>
        <v/>
      </c>
      <c r="Y16">
        <f>IF(9&gt;COUNTIF(tblSteps[週別対象],1),"",IFERROR(MATCH(9,tblSteps[週別順位],0),""))</f>
        <v>2</v>
      </c>
      <c r="Z16" t="str">
        <f>IF($Y16="","",INDEX(tblSteps[案件ID],$Y16)&amp;"")</f>
        <v>A0008</v>
      </c>
      <c r="AA16">
        <f>IF($Y16="","",INDEX(tblSteps[計開],$Y16))</f>
        <v>46281</v>
      </c>
      <c r="AB16">
        <f>IF($Y16="","",INDEX(tblSteps[計終],$Y16))</f>
        <v>46287</v>
      </c>
      <c r="AC16">
        <f>IF($Y16="","",INDEX(tblSteps[実開],$Y16))</f>
        <v>46281</v>
      </c>
      <c r="AD16">
        <f>IF($Y16="","",INDEX(tblSteps[実終],$Y16))</f>
        <v>46289</v>
      </c>
      <c r="AE16">
        <f>IF($Y16="","",INDEX(tblSteps[遅開],$Y16))</f>
        <v>1</v>
      </c>
      <c r="AF16">
        <f>IF($Y16="","",INDEX(tblSteps[遅終],$Y16))</f>
        <v>0</v>
      </c>
      <c r="AG16">
        <f>IF($Y16="","",INDEX(tblSteps[納期値],$Y16))</f>
        <v>46311</v>
      </c>
    </row>
    <row r="17" ht="18" customHeight="1">
      <c r="A17" s="89" t="str">
        <f>IF($Y17="","",INDEX(tblSteps[工程ID],$Y17)&amp;"")</f>
        <v>S0003</v>
      </c>
      <c r="B17" s="88" t="str">
        <f>IF($Y17="","",IF($Z17=$Z16,"",$Z17&amp;" "&amp;INDEX(tblSteps[案件名],$Y17)))</f>
        <v/>
      </c>
      <c r="C17" s="88" t="str">
        <f>IF($Y17="","",INDEX(tblSteps[工程名],$Y17)&amp;"")</f>
        <v>基礎工事</v>
      </c>
      <c r="D17" s="89" t="str">
        <f>IF($Y17="","",INDEX(tblSteps[担当],$Y17)&amp;"")</f>
        <v>協力会社A</v>
      </c>
      <c r="E17" s="89" t="str">
        <f>IF($Y17="","",INDEX(tblSteps[状態],$Y17)&amp;"")</f>
        <v>進行中</v>
      </c>
      <c r="F17" s="90">
        <f>IF($Y17="","",IF(ISNUMBER(INDEX(tblSteps[進捗率],$Y17)),INDEX(tblSteps[進捗率],$Y17),""))</f>
        <v>0.6</v>
      </c>
      <c r="G17" s="91">
        <f>IF($Y17="","",IF(ISNUMBER(INDEX(tblSteps[計画開始日],$Y17)),INDEX(tblSteps[計画開始日],$Y17),"未入力"))</f>
        <v>46293.0</v>
      </c>
      <c r="H17" s="91">
        <f>IF($Y17="","",IF(ISNUMBER(INDEX(tblSteps[計画終了日],$Y17)),INDEX(tblSteps[計画終了日],$Y17),"未入力"))</f>
        <v>46302.0</v>
      </c>
      <c r="I17" s="91">
        <f>IF($Y17="","",IF(ISNUMBER(INDEX(tblSteps[完了見込日],$Y17)),INDEX(tblSteps[完了見込日],$Y17),""))</f>
        <v>46304.0</v>
      </c>
      <c r="J17" s="92" t="str">
        <f>IF($Y17="","",INDEX(tblSteps[注意短],$Y17)&amp;"")</f>
        <v>見込+2日</v>
      </c>
      <c r="K17" s="93" t="str">
        <f>IF($Y17="","",IF(AND($AG17&gt;=K$6,$AG17&lt;=(K$6+6)),"◆",IF(AND($AE17&lt;=(K$6+6),$AF17&gt;=K$6),"遅",IF(AND($AC17&lt;=(K$6+6),$AD17&gt;=K$6),IF(AND($AA17&lt;=(K$6+6),$AB17&gt;=K$6),"実","外"),IF(AND($AA17&lt;=(K$6+6),$AB17&gt;=K$6),"計","")))))</f>
        <v/>
      </c>
      <c r="L17" s="93" t="str">
        <f>IF($Y17="","",IF(AND($AG17&gt;=L$6,$AG17&lt;=(L$6+6)),"◆",IF(AND($AE17&lt;=(L$6+6),$AF17&gt;=L$6),"遅",IF(AND($AC17&lt;=(L$6+6),$AD17&gt;=L$6),IF(AND($AA17&lt;=(L$6+6),$AB17&gt;=L$6),"実","外"),IF(AND($AA17&lt;=(L$6+6),$AB17&gt;=L$6),"計","")))))</f>
        <v>実</v>
      </c>
      <c r="M17" s="93" t="str">
        <f>IF($Y17="","",IF(AND($AG17&gt;=M$6,$AG17&lt;=(M$6+6)),"◆",IF(AND($AE17&lt;=(M$6+6),$AF17&gt;=M$6),"遅",IF(AND($AC17&lt;=(M$6+6),$AD17&gt;=M$6),IF(AND($AA17&lt;=(M$6+6),$AB17&gt;=M$6),"実","外"),IF(AND($AA17&lt;=(M$6+6),$AB17&gt;=M$6),"計","")))))</f>
        <v>遅</v>
      </c>
      <c r="N17" s="93" t="str">
        <f>IF($Y17="","",IF(AND($AG17&gt;=N$6,$AG17&lt;=(N$6+6)),"◆",IF(AND($AE17&lt;=(N$6+6),$AF17&gt;=N$6),"遅",IF(AND($AC17&lt;=(N$6+6),$AD17&gt;=N$6),IF(AND($AA17&lt;=(N$6+6),$AB17&gt;=N$6),"実","外"),IF(AND($AA17&lt;=(N$6+6),$AB17&gt;=N$6),"計","")))))</f>
        <v>◆</v>
      </c>
      <c r="O17" s="93" t="str">
        <f>IF($Y17="","",IF(AND($AG17&gt;=O$6,$AG17&lt;=(O$6+6)),"◆",IF(AND($AE17&lt;=(O$6+6),$AF17&gt;=O$6),"遅",IF(AND($AC17&lt;=(O$6+6),$AD17&gt;=O$6),IF(AND($AA17&lt;=(O$6+6),$AB17&gt;=O$6),"実","外"),IF(AND($AA17&lt;=(O$6+6),$AB17&gt;=O$6),"計","")))))</f>
        <v/>
      </c>
      <c r="P17" s="93" t="str">
        <f>IF($Y17="","",IF(AND($AG17&gt;=P$6,$AG17&lt;=(P$6+6)),"◆",IF(AND($AE17&lt;=(P$6+6),$AF17&gt;=P$6),"遅",IF(AND($AC17&lt;=(P$6+6),$AD17&gt;=P$6),IF(AND($AA17&lt;=(P$6+6),$AB17&gt;=P$6),"実","外"),IF(AND($AA17&lt;=(P$6+6),$AB17&gt;=P$6),"計","")))))</f>
        <v/>
      </c>
      <c r="Q17" s="93" t="str">
        <f>IF($Y17="","",IF(AND($AG17&gt;=Q$6,$AG17&lt;=(Q$6+6)),"◆",IF(AND($AE17&lt;=(Q$6+6),$AF17&gt;=Q$6),"遅",IF(AND($AC17&lt;=(Q$6+6),$AD17&gt;=Q$6),IF(AND($AA17&lt;=(Q$6+6),$AB17&gt;=Q$6),"実","外"),IF(AND($AA17&lt;=(Q$6+6),$AB17&gt;=Q$6),"計","")))))</f>
        <v/>
      </c>
      <c r="R17" s="93" t="str">
        <f>IF($Y17="","",IF(AND($AG17&gt;=R$6,$AG17&lt;=(R$6+6)),"◆",IF(AND($AE17&lt;=(R$6+6),$AF17&gt;=R$6),"遅",IF(AND($AC17&lt;=(R$6+6),$AD17&gt;=R$6),IF(AND($AA17&lt;=(R$6+6),$AB17&gt;=R$6),"実","外"),IF(AND($AA17&lt;=(R$6+6),$AB17&gt;=R$6),"計","")))))</f>
        <v/>
      </c>
      <c r="S17" s="93" t="str">
        <f>IF($Y17="","",IF(AND($AG17&gt;=S$6,$AG17&lt;=(S$6+6)),"◆",IF(AND($AE17&lt;=(S$6+6),$AF17&gt;=S$6),"遅",IF(AND($AC17&lt;=(S$6+6),$AD17&gt;=S$6),IF(AND($AA17&lt;=(S$6+6),$AB17&gt;=S$6),"実","外"),IF(AND($AA17&lt;=(S$6+6),$AB17&gt;=S$6),"計","")))))</f>
        <v/>
      </c>
      <c r="T17" s="93" t="str">
        <f>IF($Y17="","",IF(AND($AG17&gt;=T$6,$AG17&lt;=(T$6+6)),"◆",IF(AND($AE17&lt;=(T$6+6),$AF17&gt;=T$6),"遅",IF(AND($AC17&lt;=(T$6+6),$AD17&gt;=T$6),IF(AND($AA17&lt;=(T$6+6),$AB17&gt;=T$6),"実","外"),IF(AND($AA17&lt;=(T$6+6),$AB17&gt;=T$6),"計","")))))</f>
        <v/>
      </c>
      <c r="U17" s="93" t="str">
        <f>IF($Y17="","",IF(AND($AG17&gt;=U$6,$AG17&lt;=(U$6+6)),"◆",IF(AND($AE17&lt;=(U$6+6),$AF17&gt;=U$6),"遅",IF(AND($AC17&lt;=(U$6+6),$AD17&gt;=U$6),IF(AND($AA17&lt;=(U$6+6),$AB17&gt;=U$6),"実","外"),IF(AND($AA17&lt;=(U$6+6),$AB17&gt;=U$6),"計","")))))</f>
        <v/>
      </c>
      <c r="V17" s="93" t="str">
        <f>IF($Y17="","",IF(AND($AG17&gt;=V$6,$AG17&lt;=(V$6+6)),"◆",IF(AND($AE17&lt;=(V$6+6),$AF17&gt;=V$6),"遅",IF(AND($AC17&lt;=(V$6+6),$AD17&gt;=V$6),IF(AND($AA17&lt;=(V$6+6),$AB17&gt;=V$6),"実","外"),IF(AND($AA17&lt;=(V$6+6),$AB17&gt;=V$6),"計","")))))</f>
        <v/>
      </c>
      <c r="W17" s="93" t="str">
        <f>IF($Y17="","",IF(AND($AG17&gt;=W$6,$AG17&lt;=(W$6+6)),"◆",IF(AND($AE17&lt;=(W$6+6),$AF17&gt;=W$6),"遅",IF(AND($AC17&lt;=(W$6+6),$AD17&gt;=W$6),IF(AND($AA17&lt;=(W$6+6),$AB17&gt;=W$6),"実","外"),IF(AND($AA17&lt;=(W$6+6),$AB17&gt;=W$6),"計","")))))</f>
        <v/>
      </c>
      <c r="Y17">
        <f>IF(10&gt;COUNTIF(tblSteps[週別対象],1),"",IFERROR(MATCH(10,tblSteps[週別順位],0),""))</f>
        <v>3</v>
      </c>
      <c r="Z17" t="str">
        <f>IF($Y17="","",INDEX(tblSteps[案件ID],$Y17)&amp;"")</f>
        <v>A0008</v>
      </c>
      <c r="AA17">
        <f>IF($Y17="","",INDEX(tblSteps[計開],$Y17))</f>
        <v>46293</v>
      </c>
      <c r="AB17">
        <f>IF($Y17="","",INDEX(tblSteps[計終],$Y17))</f>
        <v>46302</v>
      </c>
      <c r="AC17">
        <f>IF($Y17="","",INDEX(tblSteps[実開],$Y17))</f>
        <v>46293</v>
      </c>
      <c r="AD17">
        <f>IF($Y17="","",INDEX(tblSteps[実終],$Y17))</f>
        <v>46300</v>
      </c>
      <c r="AE17">
        <f>IF($Y17="","",INDEX(tblSteps[遅開],$Y17))</f>
        <v>46303</v>
      </c>
      <c r="AF17">
        <f>IF($Y17="","",INDEX(tblSteps[遅終],$Y17))</f>
        <v>46304</v>
      </c>
      <c r="AG17">
        <f>IF($Y17="","",INDEX(tblSteps[納期値],$Y17))</f>
        <v>46311</v>
      </c>
    </row>
    <row r="18" ht="18" customHeight="1">
      <c r="A18" s="89" t="str">
        <f>IF($Y18="","",INDEX(tblSteps[工程ID],$Y18)&amp;"")</f>
        <v>S0027</v>
      </c>
      <c r="B18" s="88" t="str">
        <f>IF($Y18="","",IF($Z18=$Z17,"",$Z18&amp;" "&amp;INDEX(tblSteps[案件名],$Y18)))</f>
        <v/>
      </c>
      <c r="C18" s="88" t="str">
        <f>IF($Y18="","",INDEX(tblSteps[工程名],$Y18)&amp;"")</f>
        <v>基礎の出来形確認</v>
      </c>
      <c r="D18" s="89" t="str">
        <f>IF($Y18="","",INDEX(tblSteps[担当],$Y18)&amp;"")</f>
        <v>田中</v>
      </c>
      <c r="E18" s="89" t="str">
        <f>IF($Y18="","",INDEX(tblSteps[状態],$Y18)&amp;"")</f>
        <v>未着手</v>
      </c>
      <c r="F18" s="90">
        <f>IF($Y18="","",IF(ISNUMBER(INDEX(tblSteps[進捗率],$Y18)),INDEX(tblSteps[進捗率],$Y18),""))</f>
        <v>0</v>
      </c>
      <c r="G18" s="91">
        <f>IF($Y18="","",IF(ISNUMBER(INDEX(tblSteps[計画開始日],$Y18)),INDEX(tblSteps[計画開始日],$Y18),"未入力"))</f>
        <v>46300.0</v>
      </c>
      <c r="H18" s="91">
        <f>IF($Y18="","",IF(ISNUMBER(INDEX(tblSteps[計画終了日],$Y18)),INDEX(tblSteps[計画終了日],$Y18),"未入力"))</f>
        <v>46300.0</v>
      </c>
      <c r="I18" s="91" t="str">
        <f>IF($Y18="","",IF(ISNUMBER(INDEX(tblSteps[完了見込日],$Y18)),INDEX(tblSteps[完了見込日],$Y18),""))</f>
        <v/>
      </c>
      <c r="J18" s="92" t="str">
        <f>IF($Y18="","",INDEX(tblSteps[注意短],$Y18)&amp;"")</f>
        <v/>
      </c>
      <c r="K18" s="93" t="str">
        <f>IF($Y18="","",IF(AND($AG18&gt;=K$6,$AG18&lt;=(K$6+6)),"◆",IF(AND($AE18&lt;=(K$6+6),$AF18&gt;=K$6),"遅",IF(AND($AC18&lt;=(K$6+6),$AD18&gt;=K$6),IF(AND($AA18&lt;=(K$6+6),$AB18&gt;=K$6),"実","外"),IF(AND($AA18&lt;=(K$6+6),$AB18&gt;=K$6),"計","")))))</f>
        <v/>
      </c>
      <c r="L18" s="93" t="str">
        <f>IF($Y18="","",IF(AND($AG18&gt;=L$6,$AG18&lt;=(L$6+6)),"◆",IF(AND($AE18&lt;=(L$6+6),$AF18&gt;=L$6),"遅",IF(AND($AC18&lt;=(L$6+6),$AD18&gt;=L$6),IF(AND($AA18&lt;=(L$6+6),$AB18&gt;=L$6),"実","外"),IF(AND($AA18&lt;=(L$6+6),$AB18&gt;=L$6),"計","")))))</f>
        <v/>
      </c>
      <c r="M18" s="93" t="str">
        <f>IF($Y18="","",IF(AND($AG18&gt;=M$6,$AG18&lt;=(M$6+6)),"◆",IF(AND($AE18&lt;=(M$6+6),$AF18&gt;=M$6),"遅",IF(AND($AC18&lt;=(M$6+6),$AD18&gt;=M$6),IF(AND($AA18&lt;=(M$6+6),$AB18&gt;=M$6),"実","外"),IF(AND($AA18&lt;=(M$6+6),$AB18&gt;=M$6),"計","")))))</f>
        <v>計</v>
      </c>
      <c r="N18" s="93" t="str">
        <f>IF($Y18="","",IF(AND($AG18&gt;=N$6,$AG18&lt;=(N$6+6)),"◆",IF(AND($AE18&lt;=(N$6+6),$AF18&gt;=N$6),"遅",IF(AND($AC18&lt;=(N$6+6),$AD18&gt;=N$6),IF(AND($AA18&lt;=(N$6+6),$AB18&gt;=N$6),"実","外"),IF(AND($AA18&lt;=(N$6+6),$AB18&gt;=N$6),"計","")))))</f>
        <v>◆</v>
      </c>
      <c r="O18" s="93" t="str">
        <f>IF($Y18="","",IF(AND($AG18&gt;=O$6,$AG18&lt;=(O$6+6)),"◆",IF(AND($AE18&lt;=(O$6+6),$AF18&gt;=O$6),"遅",IF(AND($AC18&lt;=(O$6+6),$AD18&gt;=O$6),IF(AND($AA18&lt;=(O$6+6),$AB18&gt;=O$6),"実","外"),IF(AND($AA18&lt;=(O$6+6),$AB18&gt;=O$6),"計","")))))</f>
        <v/>
      </c>
      <c r="P18" s="93" t="str">
        <f>IF($Y18="","",IF(AND($AG18&gt;=P$6,$AG18&lt;=(P$6+6)),"◆",IF(AND($AE18&lt;=(P$6+6),$AF18&gt;=P$6),"遅",IF(AND($AC18&lt;=(P$6+6),$AD18&gt;=P$6),IF(AND($AA18&lt;=(P$6+6),$AB18&gt;=P$6),"実","外"),IF(AND($AA18&lt;=(P$6+6),$AB18&gt;=P$6),"計","")))))</f>
        <v/>
      </c>
      <c r="Q18" s="93" t="str">
        <f>IF($Y18="","",IF(AND($AG18&gt;=Q$6,$AG18&lt;=(Q$6+6)),"◆",IF(AND($AE18&lt;=(Q$6+6),$AF18&gt;=Q$6),"遅",IF(AND($AC18&lt;=(Q$6+6),$AD18&gt;=Q$6),IF(AND($AA18&lt;=(Q$6+6),$AB18&gt;=Q$6),"実","外"),IF(AND($AA18&lt;=(Q$6+6),$AB18&gt;=Q$6),"計","")))))</f>
        <v/>
      </c>
      <c r="R18" s="93" t="str">
        <f>IF($Y18="","",IF(AND($AG18&gt;=R$6,$AG18&lt;=(R$6+6)),"◆",IF(AND($AE18&lt;=(R$6+6),$AF18&gt;=R$6),"遅",IF(AND($AC18&lt;=(R$6+6),$AD18&gt;=R$6),IF(AND($AA18&lt;=(R$6+6),$AB18&gt;=R$6),"実","外"),IF(AND($AA18&lt;=(R$6+6),$AB18&gt;=R$6),"計","")))))</f>
        <v/>
      </c>
      <c r="S18" s="93" t="str">
        <f>IF($Y18="","",IF(AND($AG18&gt;=S$6,$AG18&lt;=(S$6+6)),"◆",IF(AND($AE18&lt;=(S$6+6),$AF18&gt;=S$6),"遅",IF(AND($AC18&lt;=(S$6+6),$AD18&gt;=S$6),IF(AND($AA18&lt;=(S$6+6),$AB18&gt;=S$6),"実","外"),IF(AND($AA18&lt;=(S$6+6),$AB18&gt;=S$6),"計","")))))</f>
        <v/>
      </c>
      <c r="T18" s="93" t="str">
        <f>IF($Y18="","",IF(AND($AG18&gt;=T$6,$AG18&lt;=(T$6+6)),"◆",IF(AND($AE18&lt;=(T$6+6),$AF18&gt;=T$6),"遅",IF(AND($AC18&lt;=(T$6+6),$AD18&gt;=T$6),IF(AND($AA18&lt;=(T$6+6),$AB18&gt;=T$6),"実","外"),IF(AND($AA18&lt;=(T$6+6),$AB18&gt;=T$6),"計","")))))</f>
        <v/>
      </c>
      <c r="U18" s="93" t="str">
        <f>IF($Y18="","",IF(AND($AG18&gt;=U$6,$AG18&lt;=(U$6+6)),"◆",IF(AND($AE18&lt;=(U$6+6),$AF18&gt;=U$6),"遅",IF(AND($AC18&lt;=(U$6+6),$AD18&gt;=U$6),IF(AND($AA18&lt;=(U$6+6),$AB18&gt;=U$6),"実","外"),IF(AND($AA18&lt;=(U$6+6),$AB18&gt;=U$6),"計","")))))</f>
        <v/>
      </c>
      <c r="V18" s="93" t="str">
        <f>IF($Y18="","",IF(AND($AG18&gt;=V$6,$AG18&lt;=(V$6+6)),"◆",IF(AND($AE18&lt;=(V$6+6),$AF18&gt;=V$6),"遅",IF(AND($AC18&lt;=(V$6+6),$AD18&gt;=V$6),IF(AND($AA18&lt;=(V$6+6),$AB18&gt;=V$6),"実","外"),IF(AND($AA18&lt;=(V$6+6),$AB18&gt;=V$6),"計","")))))</f>
        <v/>
      </c>
      <c r="W18" s="93" t="str">
        <f>IF($Y18="","",IF(AND($AG18&gt;=W$6,$AG18&lt;=(W$6+6)),"◆",IF(AND($AE18&lt;=(W$6+6),$AF18&gt;=W$6),"遅",IF(AND($AC18&lt;=(W$6+6),$AD18&gt;=W$6),IF(AND($AA18&lt;=(W$6+6),$AB18&gt;=W$6),"実","外"),IF(AND($AA18&lt;=(W$6+6),$AB18&gt;=W$6),"計","")))))</f>
        <v/>
      </c>
      <c r="Y18">
        <f>IF(11&gt;COUNTIF(tblSteps[週別対象],1),"",IFERROR(MATCH(11,tblSteps[週別順位],0),""))</f>
        <v>27</v>
      </c>
      <c r="Z18" t="str">
        <f>IF($Y18="","",INDEX(tblSteps[案件ID],$Y18)&amp;"")</f>
        <v>A0008</v>
      </c>
      <c r="AA18">
        <f>IF($Y18="","",INDEX(tblSteps[計開],$Y18))</f>
        <v>46300</v>
      </c>
      <c r="AB18">
        <f>IF($Y18="","",INDEX(tblSteps[計終],$Y18))</f>
        <v>46300</v>
      </c>
      <c r="AC18">
        <f>IF($Y18="","",INDEX(tblSteps[実開],$Y18))</f>
        <v>1</v>
      </c>
      <c r="AD18">
        <f>IF($Y18="","",INDEX(tblSteps[実終],$Y18))</f>
        <v>0</v>
      </c>
      <c r="AE18">
        <f>IF($Y18="","",INDEX(tblSteps[遅開],$Y18))</f>
        <v>46301</v>
      </c>
      <c r="AF18">
        <f>IF($Y18="","",INDEX(tblSteps[遅終],$Y18))</f>
        <v>0</v>
      </c>
      <c r="AG18">
        <f>IF($Y18="","",INDEX(tblSteps[納期値],$Y18))</f>
        <v>46311</v>
      </c>
    </row>
    <row r="19" ht="18" customHeight="1">
      <c r="A19" s="89" t="str">
        <f>IF($Y19="","",INDEX(tblSteps[工程ID],$Y19)&amp;"")</f>
        <v>S0004</v>
      </c>
      <c r="B19" s="88" t="str">
        <f>IF($Y19="","",IF($Z19=$Z18,"",$Z19&amp;" "&amp;INDEX(tblSteps[案件名],$Y19)))</f>
        <v/>
      </c>
      <c r="C19" s="88" t="str">
        <f>IF($Y19="","",INDEX(tblSteps[工程名],$Y19)&amp;"")</f>
        <v>機械搬入</v>
      </c>
      <c r="D19" s="89" t="str">
        <f>IF($Y19="","",INDEX(tblSteps[担当],$Y19)&amp;"")</f>
        <v>田中</v>
      </c>
      <c r="E19" s="89" t="str">
        <f>IF($Y19="","",INDEX(tblSteps[状態],$Y19)&amp;"")</f>
        <v>未着手</v>
      </c>
      <c r="F19" s="90">
        <f>IF($Y19="","",IF(ISNUMBER(INDEX(tblSteps[進捗率],$Y19)),INDEX(tblSteps[進捗率],$Y19),""))</f>
        <v>0</v>
      </c>
      <c r="G19" s="91">
        <f>IF($Y19="","",IF(ISNUMBER(INDEX(tblSteps[計画開始日],$Y19)),INDEX(tblSteps[計画開始日],$Y19),"未入力"))</f>
        <v>46303.0</v>
      </c>
      <c r="H19" s="91">
        <f>IF($Y19="","",IF(ISNUMBER(INDEX(tblSteps[計画終了日],$Y19)),INDEX(tblSteps[計画終了日],$Y19),"未入力"))</f>
        <v>46304.0</v>
      </c>
      <c r="I19" s="91" t="str">
        <f>IF($Y19="","",IF(ISNUMBER(INDEX(tblSteps[完了見込日],$Y19)),INDEX(tblSteps[完了見込日],$Y19),""))</f>
        <v/>
      </c>
      <c r="J19" s="92" t="str">
        <f>IF($Y19="","",INDEX(tblSteps[注意短],$Y19)&amp;"")</f>
        <v>重複の可能性</v>
      </c>
      <c r="K19" s="93" t="str">
        <f>IF($Y19="","",IF(AND($AG19&gt;=K$6,$AG19&lt;=(K$6+6)),"◆",IF(AND($AE19&lt;=(K$6+6),$AF19&gt;=K$6),"遅",IF(AND($AC19&lt;=(K$6+6),$AD19&gt;=K$6),IF(AND($AA19&lt;=(K$6+6),$AB19&gt;=K$6),"実","外"),IF(AND($AA19&lt;=(K$6+6),$AB19&gt;=K$6),"計","")))))</f>
        <v/>
      </c>
      <c r="L19" s="93" t="str">
        <f>IF($Y19="","",IF(AND($AG19&gt;=L$6,$AG19&lt;=(L$6+6)),"◆",IF(AND($AE19&lt;=(L$6+6),$AF19&gt;=L$6),"遅",IF(AND($AC19&lt;=(L$6+6),$AD19&gt;=L$6),IF(AND($AA19&lt;=(L$6+6),$AB19&gt;=L$6),"実","外"),IF(AND($AA19&lt;=(L$6+6),$AB19&gt;=L$6),"計","")))))</f>
        <v/>
      </c>
      <c r="M19" s="93" t="str">
        <f>IF($Y19="","",IF(AND($AG19&gt;=M$6,$AG19&lt;=(M$6+6)),"◆",IF(AND($AE19&lt;=(M$6+6),$AF19&gt;=M$6),"遅",IF(AND($AC19&lt;=(M$6+6),$AD19&gt;=M$6),IF(AND($AA19&lt;=(M$6+6),$AB19&gt;=M$6),"実","外"),IF(AND($AA19&lt;=(M$6+6),$AB19&gt;=M$6),"計","")))))</f>
        <v>計</v>
      </c>
      <c r="N19" s="93" t="str">
        <f>IF($Y19="","",IF(AND($AG19&gt;=N$6,$AG19&lt;=(N$6+6)),"◆",IF(AND($AE19&lt;=(N$6+6),$AF19&gt;=N$6),"遅",IF(AND($AC19&lt;=(N$6+6),$AD19&gt;=N$6),IF(AND($AA19&lt;=(N$6+6),$AB19&gt;=N$6),"実","外"),IF(AND($AA19&lt;=(N$6+6),$AB19&gt;=N$6),"計","")))))</f>
        <v>◆</v>
      </c>
      <c r="O19" s="93" t="str">
        <f>IF($Y19="","",IF(AND($AG19&gt;=O$6,$AG19&lt;=(O$6+6)),"◆",IF(AND($AE19&lt;=(O$6+6),$AF19&gt;=O$6),"遅",IF(AND($AC19&lt;=(O$6+6),$AD19&gt;=O$6),IF(AND($AA19&lt;=(O$6+6),$AB19&gt;=O$6),"実","外"),IF(AND($AA19&lt;=(O$6+6),$AB19&gt;=O$6),"計","")))))</f>
        <v/>
      </c>
      <c r="P19" s="93" t="str">
        <f>IF($Y19="","",IF(AND($AG19&gt;=P$6,$AG19&lt;=(P$6+6)),"◆",IF(AND($AE19&lt;=(P$6+6),$AF19&gt;=P$6),"遅",IF(AND($AC19&lt;=(P$6+6),$AD19&gt;=P$6),IF(AND($AA19&lt;=(P$6+6),$AB19&gt;=P$6),"実","外"),IF(AND($AA19&lt;=(P$6+6),$AB19&gt;=P$6),"計","")))))</f>
        <v/>
      </c>
      <c r="Q19" s="93" t="str">
        <f>IF($Y19="","",IF(AND($AG19&gt;=Q$6,$AG19&lt;=(Q$6+6)),"◆",IF(AND($AE19&lt;=(Q$6+6),$AF19&gt;=Q$6),"遅",IF(AND($AC19&lt;=(Q$6+6),$AD19&gt;=Q$6),IF(AND($AA19&lt;=(Q$6+6),$AB19&gt;=Q$6),"実","外"),IF(AND($AA19&lt;=(Q$6+6),$AB19&gt;=Q$6),"計","")))))</f>
        <v/>
      </c>
      <c r="R19" s="93" t="str">
        <f>IF($Y19="","",IF(AND($AG19&gt;=R$6,$AG19&lt;=(R$6+6)),"◆",IF(AND($AE19&lt;=(R$6+6),$AF19&gt;=R$6),"遅",IF(AND($AC19&lt;=(R$6+6),$AD19&gt;=R$6),IF(AND($AA19&lt;=(R$6+6),$AB19&gt;=R$6),"実","外"),IF(AND($AA19&lt;=(R$6+6),$AB19&gt;=R$6),"計","")))))</f>
        <v/>
      </c>
      <c r="S19" s="93" t="str">
        <f>IF($Y19="","",IF(AND($AG19&gt;=S$6,$AG19&lt;=(S$6+6)),"◆",IF(AND($AE19&lt;=(S$6+6),$AF19&gt;=S$6),"遅",IF(AND($AC19&lt;=(S$6+6),$AD19&gt;=S$6),IF(AND($AA19&lt;=(S$6+6),$AB19&gt;=S$6),"実","外"),IF(AND($AA19&lt;=(S$6+6),$AB19&gt;=S$6),"計","")))))</f>
        <v/>
      </c>
      <c r="T19" s="93" t="str">
        <f>IF($Y19="","",IF(AND($AG19&gt;=T$6,$AG19&lt;=(T$6+6)),"◆",IF(AND($AE19&lt;=(T$6+6),$AF19&gt;=T$6),"遅",IF(AND($AC19&lt;=(T$6+6),$AD19&gt;=T$6),IF(AND($AA19&lt;=(T$6+6),$AB19&gt;=T$6),"実","外"),IF(AND($AA19&lt;=(T$6+6),$AB19&gt;=T$6),"計","")))))</f>
        <v/>
      </c>
      <c r="U19" s="93" t="str">
        <f>IF($Y19="","",IF(AND($AG19&gt;=U$6,$AG19&lt;=(U$6+6)),"◆",IF(AND($AE19&lt;=(U$6+6),$AF19&gt;=U$6),"遅",IF(AND($AC19&lt;=(U$6+6),$AD19&gt;=U$6),IF(AND($AA19&lt;=(U$6+6),$AB19&gt;=U$6),"実","外"),IF(AND($AA19&lt;=(U$6+6),$AB19&gt;=U$6),"計","")))))</f>
        <v/>
      </c>
      <c r="V19" s="93" t="str">
        <f>IF($Y19="","",IF(AND($AG19&gt;=V$6,$AG19&lt;=(V$6+6)),"◆",IF(AND($AE19&lt;=(V$6+6),$AF19&gt;=V$6),"遅",IF(AND($AC19&lt;=(V$6+6),$AD19&gt;=V$6),IF(AND($AA19&lt;=(V$6+6),$AB19&gt;=V$6),"実","外"),IF(AND($AA19&lt;=(V$6+6),$AB19&gt;=V$6),"計","")))))</f>
        <v/>
      </c>
      <c r="W19" s="93" t="str">
        <f>IF($Y19="","",IF(AND($AG19&gt;=W$6,$AG19&lt;=(W$6+6)),"◆",IF(AND($AE19&lt;=(W$6+6),$AF19&gt;=W$6),"遅",IF(AND($AC19&lt;=(W$6+6),$AD19&gt;=W$6),IF(AND($AA19&lt;=(W$6+6),$AB19&gt;=W$6),"実","外"),IF(AND($AA19&lt;=(W$6+6),$AB19&gt;=W$6),"計","")))))</f>
        <v/>
      </c>
      <c r="Y19">
        <f>IF(12&gt;COUNTIF(tblSteps[週別対象],1),"",IFERROR(MATCH(12,tblSteps[週別順位],0),""))</f>
        <v>4</v>
      </c>
      <c r="Z19" t="str">
        <f>IF($Y19="","",INDEX(tblSteps[案件ID],$Y19)&amp;"")</f>
        <v>A0008</v>
      </c>
      <c r="AA19">
        <f>IF($Y19="","",INDEX(tblSteps[計開],$Y19))</f>
        <v>46303</v>
      </c>
      <c r="AB19">
        <f>IF($Y19="","",INDEX(tblSteps[計終],$Y19))</f>
        <v>46304</v>
      </c>
      <c r="AC19">
        <f>IF($Y19="","",INDEX(tblSteps[実開],$Y19))</f>
        <v>1</v>
      </c>
      <c r="AD19">
        <f>IF($Y19="","",INDEX(tblSteps[実終],$Y19))</f>
        <v>0</v>
      </c>
      <c r="AE19">
        <f>IF($Y19="","",INDEX(tblSteps[遅開],$Y19))</f>
        <v>46305</v>
      </c>
      <c r="AF19">
        <f>IF($Y19="","",INDEX(tblSteps[遅終],$Y19))</f>
        <v>0</v>
      </c>
      <c r="AG19">
        <f>IF($Y19="","",INDEX(tblSteps[納期値],$Y19))</f>
        <v>46311</v>
      </c>
    </row>
    <row r="20" ht="18" customHeight="1">
      <c r="A20" s="89" t="str">
        <f>IF($Y20="","",INDEX(tblSteps[工程ID],$Y20)&amp;"")</f>
        <v>S0005</v>
      </c>
      <c r="B20" s="88" t="str">
        <f>IF($Y20="","",IF($Z20=$Z19,"",$Z20&amp;" "&amp;INDEX(tblSteps[案件名],$Y20)))</f>
        <v/>
      </c>
      <c r="C20" s="88" t="str">
        <f>IF($Y20="","",INDEX(tblSteps[工程名],$Y20)&amp;"")</f>
        <v>据付・レベル出し</v>
      </c>
      <c r="D20" s="89" t="str">
        <f>IF($Y20="","",INDEX(tblSteps[担当],$Y20)&amp;"")</f>
        <v>伊藤</v>
      </c>
      <c r="E20" s="89" t="str">
        <f>IF($Y20="","",INDEX(tblSteps[状態],$Y20)&amp;"")</f>
        <v>未着手</v>
      </c>
      <c r="F20" s="90">
        <f>IF($Y20="","",IF(ISNUMBER(INDEX(tblSteps[進捗率],$Y20)),INDEX(tblSteps[進捗率],$Y20),""))</f>
        <v>0</v>
      </c>
      <c r="G20" s="91">
        <f>IF($Y20="","",IF(ISNUMBER(INDEX(tblSteps[計画開始日],$Y20)),INDEX(tblSteps[計画開始日],$Y20),"未入力"))</f>
        <v>46307.0</v>
      </c>
      <c r="H20" s="91">
        <f>IF($Y20="","",IF(ISNUMBER(INDEX(tblSteps[計画終了日],$Y20)),INDEX(tblSteps[計画終了日],$Y20),"未入力"))</f>
        <v>46309.0</v>
      </c>
      <c r="I20" s="91" t="str">
        <f>IF($Y20="","",IF(ISNUMBER(INDEX(tblSteps[完了見込日],$Y20)),INDEX(tblSteps[完了見込日],$Y20),""))</f>
        <v/>
      </c>
      <c r="J20" s="92" t="str">
        <f>IF($Y20="","",INDEX(tblSteps[注意短],$Y20)&amp;"")</f>
        <v/>
      </c>
      <c r="K20" s="93" t="str">
        <f>IF($Y20="","",IF(AND($AG20&gt;=K$6,$AG20&lt;=(K$6+6)),"◆",IF(AND($AE20&lt;=(K$6+6),$AF20&gt;=K$6),"遅",IF(AND($AC20&lt;=(K$6+6),$AD20&gt;=K$6),IF(AND($AA20&lt;=(K$6+6),$AB20&gt;=K$6),"実","外"),IF(AND($AA20&lt;=(K$6+6),$AB20&gt;=K$6),"計","")))))</f>
        <v/>
      </c>
      <c r="L20" s="93" t="str">
        <f>IF($Y20="","",IF(AND($AG20&gt;=L$6,$AG20&lt;=(L$6+6)),"◆",IF(AND($AE20&lt;=(L$6+6),$AF20&gt;=L$6),"遅",IF(AND($AC20&lt;=(L$6+6),$AD20&gt;=L$6),IF(AND($AA20&lt;=(L$6+6),$AB20&gt;=L$6),"実","外"),IF(AND($AA20&lt;=(L$6+6),$AB20&gt;=L$6),"計","")))))</f>
        <v/>
      </c>
      <c r="M20" s="93" t="str">
        <f>IF($Y20="","",IF(AND($AG20&gt;=M$6,$AG20&lt;=(M$6+6)),"◆",IF(AND($AE20&lt;=(M$6+6),$AF20&gt;=M$6),"遅",IF(AND($AC20&lt;=(M$6+6),$AD20&gt;=M$6),IF(AND($AA20&lt;=(M$6+6),$AB20&gt;=M$6),"実","外"),IF(AND($AA20&lt;=(M$6+6),$AB20&gt;=M$6),"計","")))))</f>
        <v/>
      </c>
      <c r="N20" s="93" t="str">
        <f>IF($Y20="","",IF(AND($AG20&gt;=N$6,$AG20&lt;=(N$6+6)),"◆",IF(AND($AE20&lt;=(N$6+6),$AF20&gt;=N$6),"遅",IF(AND($AC20&lt;=(N$6+6),$AD20&gt;=N$6),IF(AND($AA20&lt;=(N$6+6),$AB20&gt;=N$6),"実","外"),IF(AND($AA20&lt;=(N$6+6),$AB20&gt;=N$6),"計","")))))</f>
        <v>◆</v>
      </c>
      <c r="O20" s="93" t="str">
        <f>IF($Y20="","",IF(AND($AG20&gt;=O$6,$AG20&lt;=(O$6+6)),"◆",IF(AND($AE20&lt;=(O$6+6),$AF20&gt;=O$6),"遅",IF(AND($AC20&lt;=(O$6+6),$AD20&gt;=O$6),IF(AND($AA20&lt;=(O$6+6),$AB20&gt;=O$6),"実","外"),IF(AND($AA20&lt;=(O$6+6),$AB20&gt;=O$6),"計","")))))</f>
        <v/>
      </c>
      <c r="P20" s="93" t="str">
        <f>IF($Y20="","",IF(AND($AG20&gt;=P$6,$AG20&lt;=(P$6+6)),"◆",IF(AND($AE20&lt;=(P$6+6),$AF20&gt;=P$6),"遅",IF(AND($AC20&lt;=(P$6+6),$AD20&gt;=P$6),IF(AND($AA20&lt;=(P$6+6),$AB20&gt;=P$6),"実","外"),IF(AND($AA20&lt;=(P$6+6),$AB20&gt;=P$6),"計","")))))</f>
        <v/>
      </c>
      <c r="Q20" s="93" t="str">
        <f>IF($Y20="","",IF(AND($AG20&gt;=Q$6,$AG20&lt;=(Q$6+6)),"◆",IF(AND($AE20&lt;=(Q$6+6),$AF20&gt;=Q$6),"遅",IF(AND($AC20&lt;=(Q$6+6),$AD20&gt;=Q$6),IF(AND($AA20&lt;=(Q$6+6),$AB20&gt;=Q$6),"実","外"),IF(AND($AA20&lt;=(Q$6+6),$AB20&gt;=Q$6),"計","")))))</f>
        <v/>
      </c>
      <c r="R20" s="93" t="str">
        <f>IF($Y20="","",IF(AND($AG20&gt;=R$6,$AG20&lt;=(R$6+6)),"◆",IF(AND($AE20&lt;=(R$6+6),$AF20&gt;=R$6),"遅",IF(AND($AC20&lt;=(R$6+6),$AD20&gt;=R$6),IF(AND($AA20&lt;=(R$6+6),$AB20&gt;=R$6),"実","外"),IF(AND($AA20&lt;=(R$6+6),$AB20&gt;=R$6),"計","")))))</f>
        <v/>
      </c>
      <c r="S20" s="93" t="str">
        <f>IF($Y20="","",IF(AND($AG20&gt;=S$6,$AG20&lt;=(S$6+6)),"◆",IF(AND($AE20&lt;=(S$6+6),$AF20&gt;=S$6),"遅",IF(AND($AC20&lt;=(S$6+6),$AD20&gt;=S$6),IF(AND($AA20&lt;=(S$6+6),$AB20&gt;=S$6),"実","外"),IF(AND($AA20&lt;=(S$6+6),$AB20&gt;=S$6),"計","")))))</f>
        <v/>
      </c>
      <c r="T20" s="93" t="str">
        <f>IF($Y20="","",IF(AND($AG20&gt;=T$6,$AG20&lt;=(T$6+6)),"◆",IF(AND($AE20&lt;=(T$6+6),$AF20&gt;=T$6),"遅",IF(AND($AC20&lt;=(T$6+6),$AD20&gt;=T$6),IF(AND($AA20&lt;=(T$6+6),$AB20&gt;=T$6),"実","外"),IF(AND($AA20&lt;=(T$6+6),$AB20&gt;=T$6),"計","")))))</f>
        <v/>
      </c>
      <c r="U20" s="93" t="str">
        <f>IF($Y20="","",IF(AND($AG20&gt;=U$6,$AG20&lt;=(U$6+6)),"◆",IF(AND($AE20&lt;=(U$6+6),$AF20&gt;=U$6),"遅",IF(AND($AC20&lt;=(U$6+6),$AD20&gt;=U$6),IF(AND($AA20&lt;=(U$6+6),$AB20&gt;=U$6),"実","外"),IF(AND($AA20&lt;=(U$6+6),$AB20&gt;=U$6),"計","")))))</f>
        <v/>
      </c>
      <c r="V20" s="93" t="str">
        <f>IF($Y20="","",IF(AND($AG20&gt;=V$6,$AG20&lt;=(V$6+6)),"◆",IF(AND($AE20&lt;=(V$6+6),$AF20&gt;=V$6),"遅",IF(AND($AC20&lt;=(V$6+6),$AD20&gt;=V$6),IF(AND($AA20&lt;=(V$6+6),$AB20&gt;=V$6),"実","外"),IF(AND($AA20&lt;=(V$6+6),$AB20&gt;=V$6),"計","")))))</f>
        <v/>
      </c>
      <c r="W20" s="93" t="str">
        <f>IF($Y20="","",IF(AND($AG20&gt;=W$6,$AG20&lt;=(W$6+6)),"◆",IF(AND($AE20&lt;=(W$6+6),$AF20&gt;=W$6),"遅",IF(AND($AC20&lt;=(W$6+6),$AD20&gt;=W$6),IF(AND($AA20&lt;=(W$6+6),$AB20&gt;=W$6),"実","外"),IF(AND($AA20&lt;=(W$6+6),$AB20&gt;=W$6),"計","")))))</f>
        <v/>
      </c>
      <c r="Y20">
        <f>IF(13&gt;COUNTIF(tblSteps[週別対象],1),"",IFERROR(MATCH(13,tblSteps[週別順位],0),""))</f>
        <v>5</v>
      </c>
      <c r="Z20" t="str">
        <f>IF($Y20="","",INDEX(tblSteps[案件ID],$Y20)&amp;"")</f>
        <v>A0008</v>
      </c>
      <c r="AA20">
        <f>IF($Y20="","",INDEX(tblSteps[計開],$Y20))</f>
        <v>46307</v>
      </c>
      <c r="AB20">
        <f>IF($Y20="","",INDEX(tblSteps[計終],$Y20))</f>
        <v>46309</v>
      </c>
      <c r="AC20">
        <f>IF($Y20="","",INDEX(tblSteps[実開],$Y20))</f>
        <v>1</v>
      </c>
      <c r="AD20">
        <f>IF($Y20="","",INDEX(tblSteps[実終],$Y20))</f>
        <v>0</v>
      </c>
      <c r="AE20">
        <f>IF($Y20="","",INDEX(tblSteps[遅開],$Y20))</f>
        <v>46310</v>
      </c>
      <c r="AF20">
        <f>IF($Y20="","",INDEX(tblSteps[遅終],$Y20))</f>
        <v>0</v>
      </c>
      <c r="AG20">
        <f>IF($Y20="","",INDEX(tblSteps[納期値],$Y20))</f>
        <v>46311</v>
      </c>
    </row>
    <row r="21" ht="18" customHeight="1">
      <c r="A21" s="89" t="str">
        <f>IF($Y21="","",INDEX(tblSteps[工程ID],$Y21)&amp;"")</f>
        <v>S0006</v>
      </c>
      <c r="B21" s="88" t="str">
        <f>IF($Y21="","",IF($Z21=$Z20,"",$Z21&amp;" "&amp;INDEX(tblSteps[案件名],$Y21)))</f>
        <v/>
      </c>
      <c r="C21" s="88" t="str">
        <f>IF($Y21="","",INDEX(tblSteps[工程名],$Y21)&amp;"")</f>
        <v>試運転・立会い</v>
      </c>
      <c r="D21" s="89" t="str">
        <f>IF($Y21="","",INDEX(tblSteps[担当],$Y21)&amp;"")</f>
        <v>田中</v>
      </c>
      <c r="E21" s="89" t="str">
        <f>IF($Y21="","",INDEX(tblSteps[状態],$Y21)&amp;"")</f>
        <v>未着手</v>
      </c>
      <c r="F21" s="90">
        <f>IF($Y21="","",IF(ISNUMBER(INDEX(tblSteps[進捗率],$Y21)),INDEX(tblSteps[進捗率],$Y21),""))</f>
        <v>0</v>
      </c>
      <c r="G21" s="91">
        <f>IF($Y21="","",IF(ISNUMBER(INDEX(tblSteps[計画開始日],$Y21)),INDEX(tblSteps[計画開始日],$Y21),"未入力"))</f>
        <v>46310.0</v>
      </c>
      <c r="H21" s="91">
        <f>IF($Y21="","",IF(ISNUMBER(INDEX(tblSteps[計画終了日],$Y21)),INDEX(tblSteps[計画終了日],$Y21),"未入力"))</f>
        <v>46311.0</v>
      </c>
      <c r="I21" s="91" t="str">
        <f>IF($Y21="","",IF(ISNUMBER(INDEX(tblSteps[完了見込日],$Y21)),INDEX(tblSteps[完了見込日],$Y21),""))</f>
        <v/>
      </c>
      <c r="J21" s="92" t="str">
        <f>IF($Y21="","",INDEX(tblSteps[注意短],$Y21)&amp;"")</f>
        <v/>
      </c>
      <c r="K21" s="93" t="str">
        <f>IF($Y21="","",IF(AND($AG21&gt;=K$6,$AG21&lt;=(K$6+6)),"◆",IF(AND($AE21&lt;=(K$6+6),$AF21&gt;=K$6),"遅",IF(AND($AC21&lt;=(K$6+6),$AD21&gt;=K$6),IF(AND($AA21&lt;=(K$6+6),$AB21&gt;=K$6),"実","外"),IF(AND($AA21&lt;=(K$6+6),$AB21&gt;=K$6),"計","")))))</f>
        <v/>
      </c>
      <c r="L21" s="93" t="str">
        <f>IF($Y21="","",IF(AND($AG21&gt;=L$6,$AG21&lt;=(L$6+6)),"◆",IF(AND($AE21&lt;=(L$6+6),$AF21&gt;=L$6),"遅",IF(AND($AC21&lt;=(L$6+6),$AD21&gt;=L$6),IF(AND($AA21&lt;=(L$6+6),$AB21&gt;=L$6),"実","外"),IF(AND($AA21&lt;=(L$6+6),$AB21&gt;=L$6),"計","")))))</f>
        <v/>
      </c>
      <c r="M21" s="93" t="str">
        <f>IF($Y21="","",IF(AND($AG21&gt;=M$6,$AG21&lt;=(M$6+6)),"◆",IF(AND($AE21&lt;=(M$6+6),$AF21&gt;=M$6),"遅",IF(AND($AC21&lt;=(M$6+6),$AD21&gt;=M$6),IF(AND($AA21&lt;=(M$6+6),$AB21&gt;=M$6),"実","外"),IF(AND($AA21&lt;=(M$6+6),$AB21&gt;=M$6),"計","")))))</f>
        <v/>
      </c>
      <c r="N21" s="93" t="str">
        <f>IF($Y21="","",IF(AND($AG21&gt;=N$6,$AG21&lt;=(N$6+6)),"◆",IF(AND($AE21&lt;=(N$6+6),$AF21&gt;=N$6),"遅",IF(AND($AC21&lt;=(N$6+6),$AD21&gt;=N$6),IF(AND($AA21&lt;=(N$6+6),$AB21&gt;=N$6),"実","外"),IF(AND($AA21&lt;=(N$6+6),$AB21&gt;=N$6),"計","")))))</f>
        <v>◆</v>
      </c>
      <c r="O21" s="93" t="str">
        <f>IF($Y21="","",IF(AND($AG21&gt;=O$6,$AG21&lt;=(O$6+6)),"◆",IF(AND($AE21&lt;=(O$6+6),$AF21&gt;=O$6),"遅",IF(AND($AC21&lt;=(O$6+6),$AD21&gt;=O$6),IF(AND($AA21&lt;=(O$6+6),$AB21&gt;=O$6),"実","外"),IF(AND($AA21&lt;=(O$6+6),$AB21&gt;=O$6),"計","")))))</f>
        <v/>
      </c>
      <c r="P21" s="93" t="str">
        <f>IF($Y21="","",IF(AND($AG21&gt;=P$6,$AG21&lt;=(P$6+6)),"◆",IF(AND($AE21&lt;=(P$6+6),$AF21&gt;=P$6),"遅",IF(AND($AC21&lt;=(P$6+6),$AD21&gt;=P$6),IF(AND($AA21&lt;=(P$6+6),$AB21&gt;=P$6),"実","外"),IF(AND($AA21&lt;=(P$6+6),$AB21&gt;=P$6),"計","")))))</f>
        <v/>
      </c>
      <c r="Q21" s="93" t="str">
        <f>IF($Y21="","",IF(AND($AG21&gt;=Q$6,$AG21&lt;=(Q$6+6)),"◆",IF(AND($AE21&lt;=(Q$6+6),$AF21&gt;=Q$6),"遅",IF(AND($AC21&lt;=(Q$6+6),$AD21&gt;=Q$6),IF(AND($AA21&lt;=(Q$6+6),$AB21&gt;=Q$6),"実","外"),IF(AND($AA21&lt;=(Q$6+6),$AB21&gt;=Q$6),"計","")))))</f>
        <v/>
      </c>
      <c r="R21" s="93" t="str">
        <f>IF($Y21="","",IF(AND($AG21&gt;=R$6,$AG21&lt;=(R$6+6)),"◆",IF(AND($AE21&lt;=(R$6+6),$AF21&gt;=R$6),"遅",IF(AND($AC21&lt;=(R$6+6),$AD21&gt;=R$6),IF(AND($AA21&lt;=(R$6+6),$AB21&gt;=R$6),"実","外"),IF(AND($AA21&lt;=(R$6+6),$AB21&gt;=R$6),"計","")))))</f>
        <v/>
      </c>
      <c r="S21" s="93" t="str">
        <f>IF($Y21="","",IF(AND($AG21&gt;=S$6,$AG21&lt;=(S$6+6)),"◆",IF(AND($AE21&lt;=(S$6+6),$AF21&gt;=S$6),"遅",IF(AND($AC21&lt;=(S$6+6),$AD21&gt;=S$6),IF(AND($AA21&lt;=(S$6+6),$AB21&gt;=S$6),"実","外"),IF(AND($AA21&lt;=(S$6+6),$AB21&gt;=S$6),"計","")))))</f>
        <v/>
      </c>
      <c r="T21" s="93" t="str">
        <f>IF($Y21="","",IF(AND($AG21&gt;=T$6,$AG21&lt;=(T$6+6)),"◆",IF(AND($AE21&lt;=(T$6+6),$AF21&gt;=T$6),"遅",IF(AND($AC21&lt;=(T$6+6),$AD21&gt;=T$6),IF(AND($AA21&lt;=(T$6+6),$AB21&gt;=T$6),"実","外"),IF(AND($AA21&lt;=(T$6+6),$AB21&gt;=T$6),"計","")))))</f>
        <v/>
      </c>
      <c r="U21" s="93" t="str">
        <f>IF($Y21="","",IF(AND($AG21&gt;=U$6,$AG21&lt;=(U$6+6)),"◆",IF(AND($AE21&lt;=(U$6+6),$AF21&gt;=U$6),"遅",IF(AND($AC21&lt;=(U$6+6),$AD21&gt;=U$6),IF(AND($AA21&lt;=(U$6+6),$AB21&gt;=U$6),"実","外"),IF(AND($AA21&lt;=(U$6+6),$AB21&gt;=U$6),"計","")))))</f>
        <v/>
      </c>
      <c r="V21" s="93" t="str">
        <f>IF($Y21="","",IF(AND($AG21&gt;=V$6,$AG21&lt;=(V$6+6)),"◆",IF(AND($AE21&lt;=(V$6+6),$AF21&gt;=V$6),"遅",IF(AND($AC21&lt;=(V$6+6),$AD21&gt;=V$6),IF(AND($AA21&lt;=(V$6+6),$AB21&gt;=V$6),"実","外"),IF(AND($AA21&lt;=(V$6+6),$AB21&gt;=V$6),"計","")))))</f>
        <v/>
      </c>
      <c r="W21" s="93" t="str">
        <f>IF($Y21="","",IF(AND($AG21&gt;=W$6,$AG21&lt;=(W$6+6)),"◆",IF(AND($AE21&lt;=(W$6+6),$AF21&gt;=W$6),"遅",IF(AND($AC21&lt;=(W$6+6),$AD21&gt;=W$6),IF(AND($AA21&lt;=(W$6+6),$AB21&gt;=W$6),"実","外"),IF(AND($AA21&lt;=(W$6+6),$AB21&gt;=W$6),"計","")))))</f>
        <v/>
      </c>
      <c r="Y21">
        <f>IF(14&gt;COUNTIF(tblSteps[週別対象],1),"",IFERROR(MATCH(14,tblSteps[週別順位],0),""))</f>
        <v>6</v>
      </c>
      <c r="Z21" t="str">
        <f>IF($Y21="","",INDEX(tblSteps[案件ID],$Y21)&amp;"")</f>
        <v>A0008</v>
      </c>
      <c r="AA21">
        <f>IF($Y21="","",INDEX(tblSteps[計開],$Y21))</f>
        <v>46310</v>
      </c>
      <c r="AB21">
        <f>IF($Y21="","",INDEX(tblSteps[計終],$Y21))</f>
        <v>46311</v>
      </c>
      <c r="AC21">
        <f>IF($Y21="","",INDEX(tblSteps[実開],$Y21))</f>
        <v>1</v>
      </c>
      <c r="AD21">
        <f>IF($Y21="","",INDEX(tblSteps[実終],$Y21))</f>
        <v>0</v>
      </c>
      <c r="AE21">
        <f>IF($Y21="","",INDEX(tblSteps[遅開],$Y21))</f>
        <v>46312</v>
      </c>
      <c r="AF21">
        <f>IF($Y21="","",INDEX(tblSteps[遅終],$Y21))</f>
        <v>0</v>
      </c>
      <c r="AG21">
        <f>IF($Y21="","",INDEX(tblSteps[納期値],$Y21))</f>
        <v>46311</v>
      </c>
    </row>
    <row r="22" ht="18" customHeight="1">
      <c r="A22" s="89" t="str">
        <f>IF($Y22="","",INDEX(tblSteps[工程ID],$Y22)&amp;"")</f>
        <v>S0010</v>
      </c>
      <c r="B22" s="88" t="str">
        <f>IF($Y22="","",IF($Z22=$Z21,"",$Z22&amp;" "&amp;INDEX(tblSteps[案件名],$Y22)))</f>
        <v>A0021 自動倉庫コンベヤ増設工事</v>
      </c>
      <c r="C22" s="88" t="str">
        <f>IF($Y22="","",INDEX(tblSteps[工程名],$Y22)&amp;"")</f>
        <v>設計</v>
      </c>
      <c r="D22" s="89" t="str">
        <f>IF($Y22="","",INDEX(tblSteps[担当],$Y22)&amp;"")</f>
        <v>高橋</v>
      </c>
      <c r="E22" s="89" t="str">
        <f>IF($Y22="","",INDEX(tblSteps[状態],$Y22)&amp;"")</f>
        <v>完了</v>
      </c>
      <c r="F22" s="90">
        <f>IF($Y22="","",IF(ISNUMBER(INDEX(tblSteps[進捗率],$Y22)),INDEX(tblSteps[進捗率],$Y22),""))</f>
        <v>1</v>
      </c>
      <c r="G22" s="91">
        <f>IF($Y22="","",IF(ISNUMBER(INDEX(tblSteps[計画開始日],$Y22)),INDEX(tblSteps[計画開始日],$Y22),"未入力"))</f>
        <v>46272.0</v>
      </c>
      <c r="H22" s="91">
        <f>IF($Y22="","",IF(ISNUMBER(INDEX(tblSteps[計画終了日],$Y22)),INDEX(tblSteps[計画終了日],$Y22),"未入力"))</f>
        <v>46290.0</v>
      </c>
      <c r="I22" s="91" t="str">
        <f>IF($Y22="","",IF(ISNUMBER(INDEX(tblSteps[完了見込日],$Y22)),INDEX(tblSteps[完了見込日],$Y22),""))</f>
        <v/>
      </c>
      <c r="J22" s="92" t="str">
        <f>IF($Y22="","",INDEX(tblSteps[注意短],$Y22)&amp;"")</f>
        <v>完了</v>
      </c>
      <c r="K22" s="93" t="str">
        <f>IF($Y22="","",IF(AND($AG22&gt;=K$6,$AG22&lt;=(K$6+6)),"◆",IF(AND($AE22&lt;=(K$6+6),$AF22&gt;=K$6),"遅",IF(AND($AC22&lt;=(K$6+6),$AD22&gt;=K$6),IF(AND($AA22&lt;=(K$6+6),$AB22&gt;=K$6),"実","外"),IF(AND($AA22&lt;=(K$6+6),$AB22&gt;=K$6),"計","")))))</f>
        <v>実</v>
      </c>
      <c r="L22" s="93" t="str">
        <f>IF($Y22="","",IF(AND($AG22&gt;=L$6,$AG22&lt;=(L$6+6)),"◆",IF(AND($AE22&lt;=(L$6+6),$AF22&gt;=L$6),"遅",IF(AND($AC22&lt;=(L$6+6),$AD22&gt;=L$6),IF(AND($AA22&lt;=(L$6+6),$AB22&gt;=L$6),"実","外"),IF(AND($AA22&lt;=(L$6+6),$AB22&gt;=L$6),"計","")))))</f>
        <v/>
      </c>
      <c r="M22" s="93" t="str">
        <f>IF($Y22="","",IF(AND($AG22&gt;=M$6,$AG22&lt;=(M$6+6)),"◆",IF(AND($AE22&lt;=(M$6+6),$AF22&gt;=M$6),"遅",IF(AND($AC22&lt;=(M$6+6),$AD22&gt;=M$6),IF(AND($AA22&lt;=(M$6+6),$AB22&gt;=M$6),"実","外"),IF(AND($AA22&lt;=(M$6+6),$AB22&gt;=M$6),"計","")))))</f>
        <v/>
      </c>
      <c r="N22" s="93" t="str">
        <f>IF($Y22="","",IF(AND($AG22&gt;=N$6,$AG22&lt;=(N$6+6)),"◆",IF(AND($AE22&lt;=(N$6+6),$AF22&gt;=N$6),"遅",IF(AND($AC22&lt;=(N$6+6),$AD22&gt;=N$6),IF(AND($AA22&lt;=(N$6+6),$AB22&gt;=N$6),"実","外"),IF(AND($AA22&lt;=(N$6+6),$AB22&gt;=N$6),"計","")))))</f>
        <v/>
      </c>
      <c r="O22" s="93" t="str">
        <f>IF($Y22="","",IF(AND($AG22&gt;=O$6,$AG22&lt;=(O$6+6)),"◆",IF(AND($AE22&lt;=(O$6+6),$AF22&gt;=O$6),"遅",IF(AND($AC22&lt;=(O$6+6),$AD22&gt;=O$6),IF(AND($AA22&lt;=(O$6+6),$AB22&gt;=O$6),"実","外"),IF(AND($AA22&lt;=(O$6+6),$AB22&gt;=O$6),"計","")))))</f>
        <v/>
      </c>
      <c r="P22" s="93" t="str">
        <f>IF($Y22="","",IF(AND($AG22&gt;=P$6,$AG22&lt;=(P$6+6)),"◆",IF(AND($AE22&lt;=(P$6+6),$AF22&gt;=P$6),"遅",IF(AND($AC22&lt;=(P$6+6),$AD22&gt;=P$6),IF(AND($AA22&lt;=(P$6+6),$AB22&gt;=P$6),"実","外"),IF(AND($AA22&lt;=(P$6+6),$AB22&gt;=P$6),"計","")))))</f>
        <v>◆</v>
      </c>
      <c r="Q22" s="93" t="str">
        <f>IF($Y22="","",IF(AND($AG22&gt;=Q$6,$AG22&lt;=(Q$6+6)),"◆",IF(AND($AE22&lt;=(Q$6+6),$AF22&gt;=Q$6),"遅",IF(AND($AC22&lt;=(Q$6+6),$AD22&gt;=Q$6),IF(AND($AA22&lt;=(Q$6+6),$AB22&gt;=Q$6),"実","外"),IF(AND($AA22&lt;=(Q$6+6),$AB22&gt;=Q$6),"計","")))))</f>
        <v/>
      </c>
      <c r="R22" s="93" t="str">
        <f>IF($Y22="","",IF(AND($AG22&gt;=R$6,$AG22&lt;=(R$6+6)),"◆",IF(AND($AE22&lt;=(R$6+6),$AF22&gt;=R$6),"遅",IF(AND($AC22&lt;=(R$6+6),$AD22&gt;=R$6),IF(AND($AA22&lt;=(R$6+6),$AB22&gt;=R$6),"実","外"),IF(AND($AA22&lt;=(R$6+6),$AB22&gt;=R$6),"計","")))))</f>
        <v/>
      </c>
      <c r="S22" s="93" t="str">
        <f>IF($Y22="","",IF(AND($AG22&gt;=S$6,$AG22&lt;=(S$6+6)),"◆",IF(AND($AE22&lt;=(S$6+6),$AF22&gt;=S$6),"遅",IF(AND($AC22&lt;=(S$6+6),$AD22&gt;=S$6),IF(AND($AA22&lt;=(S$6+6),$AB22&gt;=S$6),"実","外"),IF(AND($AA22&lt;=(S$6+6),$AB22&gt;=S$6),"計","")))))</f>
        <v/>
      </c>
      <c r="T22" s="93" t="str">
        <f>IF($Y22="","",IF(AND($AG22&gt;=T$6,$AG22&lt;=(T$6+6)),"◆",IF(AND($AE22&lt;=(T$6+6),$AF22&gt;=T$6),"遅",IF(AND($AC22&lt;=(T$6+6),$AD22&gt;=T$6),IF(AND($AA22&lt;=(T$6+6),$AB22&gt;=T$6),"実","外"),IF(AND($AA22&lt;=(T$6+6),$AB22&gt;=T$6),"計","")))))</f>
        <v/>
      </c>
      <c r="U22" s="93" t="str">
        <f>IF($Y22="","",IF(AND($AG22&gt;=U$6,$AG22&lt;=(U$6+6)),"◆",IF(AND($AE22&lt;=(U$6+6),$AF22&gt;=U$6),"遅",IF(AND($AC22&lt;=(U$6+6),$AD22&gt;=U$6),IF(AND($AA22&lt;=(U$6+6),$AB22&gt;=U$6),"実","外"),IF(AND($AA22&lt;=(U$6+6),$AB22&gt;=U$6),"計","")))))</f>
        <v/>
      </c>
      <c r="V22" s="93" t="str">
        <f>IF($Y22="","",IF(AND($AG22&gt;=V$6,$AG22&lt;=(V$6+6)),"◆",IF(AND($AE22&lt;=(V$6+6),$AF22&gt;=V$6),"遅",IF(AND($AC22&lt;=(V$6+6),$AD22&gt;=V$6),IF(AND($AA22&lt;=(V$6+6),$AB22&gt;=V$6),"実","外"),IF(AND($AA22&lt;=(V$6+6),$AB22&gt;=V$6),"計","")))))</f>
        <v/>
      </c>
      <c r="W22" s="93" t="str">
        <f>IF($Y22="","",IF(AND($AG22&gt;=W$6,$AG22&lt;=(W$6+6)),"◆",IF(AND($AE22&lt;=(W$6+6),$AF22&gt;=W$6),"遅",IF(AND($AC22&lt;=(W$6+6),$AD22&gt;=W$6),IF(AND($AA22&lt;=(W$6+6),$AB22&gt;=W$6),"実","外"),IF(AND($AA22&lt;=(W$6+6),$AB22&gt;=W$6),"計","")))))</f>
        <v/>
      </c>
      <c r="Y22">
        <f>IF(15&gt;COUNTIF(tblSteps[週別対象],1),"",IFERROR(MATCH(15,tblSteps[週別順位],0),""))</f>
        <v>10</v>
      </c>
      <c r="Z22" t="str">
        <f>IF($Y22="","",INDEX(tblSteps[案件ID],$Y22)&amp;"")</f>
        <v>A0021</v>
      </c>
      <c r="AA22">
        <f>IF($Y22="","",INDEX(tblSteps[計開],$Y22))</f>
        <v>46272</v>
      </c>
      <c r="AB22">
        <f>IF($Y22="","",INDEX(tblSteps[計終],$Y22))</f>
        <v>46290</v>
      </c>
      <c r="AC22">
        <f>IF($Y22="","",INDEX(tblSteps[実開],$Y22))</f>
        <v>46272</v>
      </c>
      <c r="AD22">
        <f>IF($Y22="","",INDEX(tblSteps[実終],$Y22))</f>
        <v>46290</v>
      </c>
      <c r="AE22">
        <f>IF($Y22="","",INDEX(tblSteps[遅開],$Y22))</f>
        <v>1</v>
      </c>
      <c r="AF22">
        <f>IF($Y22="","",INDEX(tblSteps[遅終],$Y22))</f>
        <v>0</v>
      </c>
      <c r="AG22">
        <f>IF($Y22="","",INDEX(tblSteps[納期値],$Y22))</f>
        <v>46325</v>
      </c>
    </row>
    <row r="23" ht="18" customHeight="1">
      <c r="A23" s="89" t="str">
        <f>IF($Y23="","",INDEX(tblSteps[工程ID],$Y23)&amp;"")</f>
        <v>S0011</v>
      </c>
      <c r="B23" s="88" t="str">
        <f>IF($Y23="","",IF($Z23=$Z22,"",$Z23&amp;" "&amp;INDEX(tblSteps[案件名],$Y23)))</f>
        <v/>
      </c>
      <c r="C23" s="88" t="str">
        <f>IF($Y23="","",INDEX(tblSteps[工程名],$Y23)&amp;"")</f>
        <v>部材の発注・製作</v>
      </c>
      <c r="D23" s="89" t="str">
        <f>IF($Y23="","",INDEX(tblSteps[担当],$Y23)&amp;"")</f>
        <v>協力会社C</v>
      </c>
      <c r="E23" s="89" t="str">
        <f>IF($Y23="","",INDEX(tblSteps[状態],$Y23)&amp;"")</f>
        <v>進行中</v>
      </c>
      <c r="F23" s="90">
        <f>IF($Y23="","",IF(ISNUMBER(INDEX(tblSteps[進捗率],$Y23)),INDEX(tblSteps[進捗率],$Y23),""))</f>
        <v>0.7</v>
      </c>
      <c r="G23" s="91">
        <f>IF($Y23="","",IF(ISNUMBER(INDEX(tblSteps[計画開始日],$Y23)),INDEX(tblSteps[計画開始日],$Y23),"未入力"))</f>
        <v>46286.0</v>
      </c>
      <c r="H23" s="91">
        <f>IF($Y23="","",IF(ISNUMBER(INDEX(tblSteps[計画終了日],$Y23)),INDEX(tblSteps[計画終了日],$Y23),"未入力"))</f>
        <v>46304.0</v>
      </c>
      <c r="I23" s="91" t="str">
        <f>IF($Y23="","",IF(ISNUMBER(INDEX(tblSteps[完了見込日],$Y23)),INDEX(tblSteps[完了見込日],$Y23),""))</f>
        <v/>
      </c>
      <c r="J23" s="92" t="str">
        <f>IF($Y23="","",INDEX(tblSteps[注意短],$Y23)&amp;"")</f>
        <v/>
      </c>
      <c r="K23" s="93" t="str">
        <f>IF($Y23="","",IF(AND($AG23&gt;=K$6,$AG23&lt;=(K$6+6)),"◆",IF(AND($AE23&lt;=(K$6+6),$AF23&gt;=K$6),"遅",IF(AND($AC23&lt;=(K$6+6),$AD23&gt;=K$6),IF(AND($AA23&lt;=(K$6+6),$AB23&gt;=K$6),"実","外"),IF(AND($AA23&lt;=(K$6+6),$AB23&gt;=K$6),"計","")))))</f>
        <v>実</v>
      </c>
      <c r="L23" s="93" t="str">
        <f>IF($Y23="","",IF(AND($AG23&gt;=L$6,$AG23&lt;=(L$6+6)),"◆",IF(AND($AE23&lt;=(L$6+6),$AF23&gt;=L$6),"遅",IF(AND($AC23&lt;=(L$6+6),$AD23&gt;=L$6),IF(AND($AA23&lt;=(L$6+6),$AB23&gt;=L$6),"実","外"),IF(AND($AA23&lt;=(L$6+6),$AB23&gt;=L$6),"計","")))))</f>
        <v>実</v>
      </c>
      <c r="M23" s="93" t="str">
        <f>IF($Y23="","",IF(AND($AG23&gt;=M$6,$AG23&lt;=(M$6+6)),"◆",IF(AND($AE23&lt;=(M$6+6),$AF23&gt;=M$6),"遅",IF(AND($AC23&lt;=(M$6+6),$AD23&gt;=M$6),IF(AND($AA23&lt;=(M$6+6),$AB23&gt;=M$6),"実","外"),IF(AND($AA23&lt;=(M$6+6),$AB23&gt;=M$6),"計","")))))</f>
        <v>実</v>
      </c>
      <c r="N23" s="93" t="str">
        <f>IF($Y23="","",IF(AND($AG23&gt;=N$6,$AG23&lt;=(N$6+6)),"◆",IF(AND($AE23&lt;=(N$6+6),$AF23&gt;=N$6),"遅",IF(AND($AC23&lt;=(N$6+6),$AD23&gt;=N$6),IF(AND($AA23&lt;=(N$6+6),$AB23&gt;=N$6),"実","外"),IF(AND($AA23&lt;=(N$6+6),$AB23&gt;=N$6),"計","")))))</f>
        <v/>
      </c>
      <c r="O23" s="93" t="str">
        <f>IF($Y23="","",IF(AND($AG23&gt;=O$6,$AG23&lt;=(O$6+6)),"◆",IF(AND($AE23&lt;=(O$6+6),$AF23&gt;=O$6),"遅",IF(AND($AC23&lt;=(O$6+6),$AD23&gt;=O$6),IF(AND($AA23&lt;=(O$6+6),$AB23&gt;=O$6),"実","外"),IF(AND($AA23&lt;=(O$6+6),$AB23&gt;=O$6),"計","")))))</f>
        <v/>
      </c>
      <c r="P23" s="93" t="str">
        <f>IF($Y23="","",IF(AND($AG23&gt;=P$6,$AG23&lt;=(P$6+6)),"◆",IF(AND($AE23&lt;=(P$6+6),$AF23&gt;=P$6),"遅",IF(AND($AC23&lt;=(P$6+6),$AD23&gt;=P$6),IF(AND($AA23&lt;=(P$6+6),$AB23&gt;=P$6),"実","外"),IF(AND($AA23&lt;=(P$6+6),$AB23&gt;=P$6),"計","")))))</f>
        <v>◆</v>
      </c>
      <c r="Q23" s="93" t="str">
        <f>IF($Y23="","",IF(AND($AG23&gt;=Q$6,$AG23&lt;=(Q$6+6)),"◆",IF(AND($AE23&lt;=(Q$6+6),$AF23&gt;=Q$6),"遅",IF(AND($AC23&lt;=(Q$6+6),$AD23&gt;=Q$6),IF(AND($AA23&lt;=(Q$6+6),$AB23&gt;=Q$6),"実","外"),IF(AND($AA23&lt;=(Q$6+6),$AB23&gt;=Q$6),"計","")))))</f>
        <v/>
      </c>
      <c r="R23" s="93" t="str">
        <f>IF($Y23="","",IF(AND($AG23&gt;=R$6,$AG23&lt;=(R$6+6)),"◆",IF(AND($AE23&lt;=(R$6+6),$AF23&gt;=R$6),"遅",IF(AND($AC23&lt;=(R$6+6),$AD23&gt;=R$6),IF(AND($AA23&lt;=(R$6+6),$AB23&gt;=R$6),"実","外"),IF(AND($AA23&lt;=(R$6+6),$AB23&gt;=R$6),"計","")))))</f>
        <v/>
      </c>
      <c r="S23" s="93" t="str">
        <f>IF($Y23="","",IF(AND($AG23&gt;=S$6,$AG23&lt;=(S$6+6)),"◆",IF(AND($AE23&lt;=(S$6+6),$AF23&gt;=S$6),"遅",IF(AND($AC23&lt;=(S$6+6),$AD23&gt;=S$6),IF(AND($AA23&lt;=(S$6+6),$AB23&gt;=S$6),"実","外"),IF(AND($AA23&lt;=(S$6+6),$AB23&gt;=S$6),"計","")))))</f>
        <v/>
      </c>
      <c r="T23" s="93" t="str">
        <f>IF($Y23="","",IF(AND($AG23&gt;=T$6,$AG23&lt;=(T$6+6)),"◆",IF(AND($AE23&lt;=(T$6+6),$AF23&gt;=T$6),"遅",IF(AND($AC23&lt;=(T$6+6),$AD23&gt;=T$6),IF(AND($AA23&lt;=(T$6+6),$AB23&gt;=T$6),"実","外"),IF(AND($AA23&lt;=(T$6+6),$AB23&gt;=T$6),"計","")))))</f>
        <v/>
      </c>
      <c r="U23" s="93" t="str">
        <f>IF($Y23="","",IF(AND($AG23&gt;=U$6,$AG23&lt;=(U$6+6)),"◆",IF(AND($AE23&lt;=(U$6+6),$AF23&gt;=U$6),"遅",IF(AND($AC23&lt;=(U$6+6),$AD23&gt;=U$6),IF(AND($AA23&lt;=(U$6+6),$AB23&gt;=U$6),"実","外"),IF(AND($AA23&lt;=(U$6+6),$AB23&gt;=U$6),"計","")))))</f>
        <v/>
      </c>
      <c r="V23" s="93" t="str">
        <f>IF($Y23="","",IF(AND($AG23&gt;=V$6,$AG23&lt;=(V$6+6)),"◆",IF(AND($AE23&lt;=(V$6+6),$AF23&gt;=V$6),"遅",IF(AND($AC23&lt;=(V$6+6),$AD23&gt;=V$6),IF(AND($AA23&lt;=(V$6+6),$AB23&gt;=V$6),"実","外"),IF(AND($AA23&lt;=(V$6+6),$AB23&gt;=V$6),"計","")))))</f>
        <v/>
      </c>
      <c r="W23" s="93" t="str">
        <f>IF($Y23="","",IF(AND($AG23&gt;=W$6,$AG23&lt;=(W$6+6)),"◆",IF(AND($AE23&lt;=(W$6+6),$AF23&gt;=W$6),"遅",IF(AND($AC23&lt;=(W$6+6),$AD23&gt;=W$6),IF(AND($AA23&lt;=(W$6+6),$AB23&gt;=W$6),"実","外"),IF(AND($AA23&lt;=(W$6+6),$AB23&gt;=W$6),"計","")))))</f>
        <v/>
      </c>
      <c r="Y23">
        <f>IF(16&gt;COUNTIF(tblSteps[週別対象],1),"",IFERROR(MATCH(16,tblSteps[週別順位],0),""))</f>
        <v>11</v>
      </c>
      <c r="Z23" t="str">
        <f>IF($Y23="","",INDEX(tblSteps[案件ID],$Y23)&amp;"")</f>
        <v>A0021</v>
      </c>
      <c r="AA23">
        <f>IF($Y23="","",INDEX(tblSteps[計開],$Y23))</f>
        <v>46286</v>
      </c>
      <c r="AB23">
        <f>IF($Y23="","",INDEX(tblSteps[計終],$Y23))</f>
        <v>46304</v>
      </c>
      <c r="AC23">
        <f>IF($Y23="","",INDEX(tblSteps[実開],$Y23))</f>
        <v>46286</v>
      </c>
      <c r="AD23">
        <f>IF($Y23="","",INDEX(tblSteps[実終],$Y23))</f>
        <v>46300</v>
      </c>
      <c r="AE23">
        <f>IF($Y23="","",INDEX(tblSteps[遅開],$Y23))</f>
        <v>46305</v>
      </c>
      <c r="AF23">
        <f>IF($Y23="","",INDEX(tblSteps[遅終],$Y23))</f>
        <v>0</v>
      </c>
      <c r="AG23">
        <f>IF($Y23="","",INDEX(tblSteps[納期値],$Y23))</f>
        <v>46325</v>
      </c>
    </row>
    <row r="24" ht="18" customHeight="1">
      <c r="A24" s="89" t="str">
        <f>IF($Y24="","",INDEX(tblSteps[工程ID],$Y24)&amp;"")</f>
        <v>S0012</v>
      </c>
      <c r="B24" s="88" t="str">
        <f>IF($Y24="","",IF($Z24=$Z23,"",$Z24&amp;" "&amp;INDEX(tblSteps[案件名],$Y24)))</f>
        <v/>
      </c>
      <c r="C24" s="88" t="str">
        <f>IF($Y24="","",INDEX(tblSteps[工程名],$Y24)&amp;"")</f>
        <v>既設撤去の立会い（夜間）</v>
      </c>
      <c r="D24" s="89" t="str">
        <f>IF($Y24="","",INDEX(tblSteps[担当],$Y24)&amp;"")</f>
        <v>高橋</v>
      </c>
      <c r="E24" s="89" t="str">
        <f>IF($Y24="","",INDEX(tblSteps[状態],$Y24)&amp;"")</f>
        <v>未着手</v>
      </c>
      <c r="F24" s="90">
        <f>IF($Y24="","",IF(ISNUMBER(INDEX(tblSteps[進捗率],$Y24)),INDEX(tblSteps[進捗率],$Y24),""))</f>
        <v>0</v>
      </c>
      <c r="G24" s="91">
        <f>IF($Y24="","",IF(ISNUMBER(INDEX(tblSteps[計画開始日],$Y24)),INDEX(tblSteps[計画開始日],$Y24),"未入力"))</f>
        <v>46300.0</v>
      </c>
      <c r="H24" s="91">
        <f>IF($Y24="","",IF(ISNUMBER(INDEX(tblSteps[計画終了日],$Y24)),INDEX(tblSteps[計画終了日],$Y24),"未入力"))</f>
        <v>46301.0</v>
      </c>
      <c r="I24" s="91" t="str">
        <f>IF($Y24="","",IF(ISNUMBER(INDEX(tblSteps[完了見込日],$Y24)),INDEX(tblSteps[完了見込日],$Y24),""))</f>
        <v/>
      </c>
      <c r="J24" s="92" t="str">
        <f>IF($Y24="","",INDEX(tblSteps[注意短],$Y24)&amp;"")</f>
        <v/>
      </c>
      <c r="K24" s="93" t="str">
        <f>IF($Y24="","",IF(AND($AG24&gt;=K$6,$AG24&lt;=(K$6+6)),"◆",IF(AND($AE24&lt;=(K$6+6),$AF24&gt;=K$6),"遅",IF(AND($AC24&lt;=(K$6+6),$AD24&gt;=K$6),IF(AND($AA24&lt;=(K$6+6),$AB24&gt;=K$6),"実","外"),IF(AND($AA24&lt;=(K$6+6),$AB24&gt;=K$6),"計","")))))</f>
        <v/>
      </c>
      <c r="L24" s="93" t="str">
        <f>IF($Y24="","",IF(AND($AG24&gt;=L$6,$AG24&lt;=(L$6+6)),"◆",IF(AND($AE24&lt;=(L$6+6),$AF24&gt;=L$6),"遅",IF(AND($AC24&lt;=(L$6+6),$AD24&gt;=L$6),IF(AND($AA24&lt;=(L$6+6),$AB24&gt;=L$6),"実","外"),IF(AND($AA24&lt;=(L$6+6),$AB24&gt;=L$6),"計","")))))</f>
        <v/>
      </c>
      <c r="M24" s="93" t="str">
        <f>IF($Y24="","",IF(AND($AG24&gt;=M$6,$AG24&lt;=(M$6+6)),"◆",IF(AND($AE24&lt;=(M$6+6),$AF24&gt;=M$6),"遅",IF(AND($AC24&lt;=(M$6+6),$AD24&gt;=M$6),IF(AND($AA24&lt;=(M$6+6),$AB24&gt;=M$6),"実","外"),IF(AND($AA24&lt;=(M$6+6),$AB24&gt;=M$6),"計","")))))</f>
        <v>計</v>
      </c>
      <c r="N24" s="93" t="str">
        <f>IF($Y24="","",IF(AND($AG24&gt;=N$6,$AG24&lt;=(N$6+6)),"◆",IF(AND($AE24&lt;=(N$6+6),$AF24&gt;=N$6),"遅",IF(AND($AC24&lt;=(N$6+6),$AD24&gt;=N$6),IF(AND($AA24&lt;=(N$6+6),$AB24&gt;=N$6),"実","外"),IF(AND($AA24&lt;=(N$6+6),$AB24&gt;=N$6),"計","")))))</f>
        <v/>
      </c>
      <c r="O24" s="93" t="str">
        <f>IF($Y24="","",IF(AND($AG24&gt;=O$6,$AG24&lt;=(O$6+6)),"◆",IF(AND($AE24&lt;=(O$6+6),$AF24&gt;=O$6),"遅",IF(AND($AC24&lt;=(O$6+6),$AD24&gt;=O$6),IF(AND($AA24&lt;=(O$6+6),$AB24&gt;=O$6),"実","外"),IF(AND($AA24&lt;=(O$6+6),$AB24&gt;=O$6),"計","")))))</f>
        <v/>
      </c>
      <c r="P24" s="93" t="str">
        <f>IF($Y24="","",IF(AND($AG24&gt;=P$6,$AG24&lt;=(P$6+6)),"◆",IF(AND($AE24&lt;=(P$6+6),$AF24&gt;=P$6),"遅",IF(AND($AC24&lt;=(P$6+6),$AD24&gt;=P$6),IF(AND($AA24&lt;=(P$6+6),$AB24&gt;=P$6),"実","外"),IF(AND($AA24&lt;=(P$6+6),$AB24&gt;=P$6),"計","")))))</f>
        <v>◆</v>
      </c>
      <c r="Q24" s="93" t="str">
        <f>IF($Y24="","",IF(AND($AG24&gt;=Q$6,$AG24&lt;=(Q$6+6)),"◆",IF(AND($AE24&lt;=(Q$6+6),$AF24&gt;=Q$6),"遅",IF(AND($AC24&lt;=(Q$6+6),$AD24&gt;=Q$6),IF(AND($AA24&lt;=(Q$6+6),$AB24&gt;=Q$6),"実","外"),IF(AND($AA24&lt;=(Q$6+6),$AB24&gt;=Q$6),"計","")))))</f>
        <v/>
      </c>
      <c r="R24" s="93" t="str">
        <f>IF($Y24="","",IF(AND($AG24&gt;=R$6,$AG24&lt;=(R$6+6)),"◆",IF(AND($AE24&lt;=(R$6+6),$AF24&gt;=R$6),"遅",IF(AND($AC24&lt;=(R$6+6),$AD24&gt;=R$6),IF(AND($AA24&lt;=(R$6+6),$AB24&gt;=R$6),"実","外"),IF(AND($AA24&lt;=(R$6+6),$AB24&gt;=R$6),"計","")))))</f>
        <v/>
      </c>
      <c r="S24" s="93" t="str">
        <f>IF($Y24="","",IF(AND($AG24&gt;=S$6,$AG24&lt;=(S$6+6)),"◆",IF(AND($AE24&lt;=(S$6+6),$AF24&gt;=S$6),"遅",IF(AND($AC24&lt;=(S$6+6),$AD24&gt;=S$6),IF(AND($AA24&lt;=(S$6+6),$AB24&gt;=S$6),"実","外"),IF(AND($AA24&lt;=(S$6+6),$AB24&gt;=S$6),"計","")))))</f>
        <v/>
      </c>
      <c r="T24" s="93" t="str">
        <f>IF($Y24="","",IF(AND($AG24&gt;=T$6,$AG24&lt;=(T$6+6)),"◆",IF(AND($AE24&lt;=(T$6+6),$AF24&gt;=T$6),"遅",IF(AND($AC24&lt;=(T$6+6),$AD24&gt;=T$6),IF(AND($AA24&lt;=(T$6+6),$AB24&gt;=T$6),"実","外"),IF(AND($AA24&lt;=(T$6+6),$AB24&gt;=T$6),"計","")))))</f>
        <v/>
      </c>
      <c r="U24" s="93" t="str">
        <f>IF($Y24="","",IF(AND($AG24&gt;=U$6,$AG24&lt;=(U$6+6)),"◆",IF(AND($AE24&lt;=(U$6+6),$AF24&gt;=U$6),"遅",IF(AND($AC24&lt;=(U$6+6),$AD24&gt;=U$6),IF(AND($AA24&lt;=(U$6+6),$AB24&gt;=U$6),"実","外"),IF(AND($AA24&lt;=(U$6+6),$AB24&gt;=U$6),"計","")))))</f>
        <v/>
      </c>
      <c r="V24" s="93" t="str">
        <f>IF($Y24="","",IF(AND($AG24&gt;=V$6,$AG24&lt;=(V$6+6)),"◆",IF(AND($AE24&lt;=(V$6+6),$AF24&gt;=V$6),"遅",IF(AND($AC24&lt;=(V$6+6),$AD24&gt;=V$6),IF(AND($AA24&lt;=(V$6+6),$AB24&gt;=V$6),"実","外"),IF(AND($AA24&lt;=(V$6+6),$AB24&gt;=V$6),"計","")))))</f>
        <v/>
      </c>
      <c r="W24" s="93" t="str">
        <f>IF($Y24="","",IF(AND($AG24&gt;=W$6,$AG24&lt;=(W$6+6)),"◆",IF(AND($AE24&lt;=(W$6+6),$AF24&gt;=W$6),"遅",IF(AND($AC24&lt;=(W$6+6),$AD24&gt;=W$6),IF(AND($AA24&lt;=(W$6+6),$AB24&gt;=W$6),"実","外"),IF(AND($AA24&lt;=(W$6+6),$AB24&gt;=W$6),"計","")))))</f>
        <v/>
      </c>
      <c r="Y24">
        <f>IF(17&gt;COUNTIF(tblSteps[週別対象],1),"",IFERROR(MATCH(17,tblSteps[週別順位],0),""))</f>
        <v>12</v>
      </c>
      <c r="Z24" t="str">
        <f>IF($Y24="","",INDEX(tblSteps[案件ID],$Y24)&amp;"")</f>
        <v>A0021</v>
      </c>
      <c r="AA24">
        <f>IF($Y24="","",INDEX(tblSteps[計開],$Y24))</f>
        <v>46300</v>
      </c>
      <c r="AB24">
        <f>IF($Y24="","",INDEX(tblSteps[計終],$Y24))</f>
        <v>46301</v>
      </c>
      <c r="AC24">
        <f>IF($Y24="","",INDEX(tblSteps[実開],$Y24))</f>
        <v>1</v>
      </c>
      <c r="AD24">
        <f>IF($Y24="","",INDEX(tblSteps[実終],$Y24))</f>
        <v>0</v>
      </c>
      <c r="AE24">
        <f>IF($Y24="","",INDEX(tblSteps[遅開],$Y24))</f>
        <v>46302</v>
      </c>
      <c r="AF24">
        <f>IF($Y24="","",INDEX(tblSteps[遅終],$Y24))</f>
        <v>0</v>
      </c>
      <c r="AG24">
        <f>IF($Y24="","",INDEX(tblSteps[納期値],$Y24))</f>
        <v>46325</v>
      </c>
    </row>
    <row r="25" ht="18" customHeight="1">
      <c r="A25" s="89" t="str">
        <f>IF($Y25="","",INDEX(tblSteps[工程ID],$Y25)&amp;"")</f>
        <v>S0026</v>
      </c>
      <c r="B25" s="88" t="str">
        <f>IF($Y25="","",IF($Z25=$Z24,"",$Z25&amp;" "&amp;INDEX(tblSteps[案件名],$Y25)))</f>
        <v/>
      </c>
      <c r="C25" s="88" t="str">
        <f>IF($Y25="","",INDEX(tblSteps[工程名],$Y25)&amp;"")</f>
        <v>施工前ミーティング</v>
      </c>
      <c r="D25" s="89" t="str">
        <f>IF($Y25="","",INDEX(tblSteps[担当],$Y25)&amp;"")</f>
        <v>高橋</v>
      </c>
      <c r="E25" s="89" t="str">
        <f>IF($Y25="","",INDEX(tblSteps[状態],$Y25)&amp;"")</f>
        <v>未着手</v>
      </c>
      <c r="F25" s="90">
        <f>IF($Y25="","",IF(ISNUMBER(INDEX(tblSteps[進捗率],$Y25)),INDEX(tblSteps[進捗率],$Y25),""))</f>
        <v>0</v>
      </c>
      <c r="G25" s="91">
        <f>IF($Y25="","",IF(ISNUMBER(INDEX(tblSteps[計画開始日],$Y25)),INDEX(tblSteps[計画開始日],$Y25),"未入力"))</f>
        <v>46300.0</v>
      </c>
      <c r="H25" s="91">
        <f>IF($Y25="","",IF(ISNUMBER(INDEX(tblSteps[計画終了日],$Y25)),INDEX(tblSteps[計画終了日],$Y25),"未入力"))</f>
        <v>46300.0</v>
      </c>
      <c r="I25" s="91" t="str">
        <f>IF($Y25="","",IF(ISNUMBER(INDEX(tblSteps[完了見込日],$Y25)),INDEX(tblSteps[完了見込日],$Y25),""))</f>
        <v/>
      </c>
      <c r="J25" s="92" t="str">
        <f>IF($Y25="","",INDEX(tblSteps[注意短],$Y25)&amp;"")</f>
        <v/>
      </c>
      <c r="K25" s="93" t="str">
        <f>IF($Y25="","",IF(AND($AG25&gt;=K$6,$AG25&lt;=(K$6+6)),"◆",IF(AND($AE25&lt;=(K$6+6),$AF25&gt;=K$6),"遅",IF(AND($AC25&lt;=(K$6+6),$AD25&gt;=K$6),IF(AND($AA25&lt;=(K$6+6),$AB25&gt;=K$6),"実","外"),IF(AND($AA25&lt;=(K$6+6),$AB25&gt;=K$6),"計","")))))</f>
        <v/>
      </c>
      <c r="L25" s="93" t="str">
        <f>IF($Y25="","",IF(AND($AG25&gt;=L$6,$AG25&lt;=(L$6+6)),"◆",IF(AND($AE25&lt;=(L$6+6),$AF25&gt;=L$6),"遅",IF(AND($AC25&lt;=(L$6+6),$AD25&gt;=L$6),IF(AND($AA25&lt;=(L$6+6),$AB25&gt;=L$6),"実","外"),IF(AND($AA25&lt;=(L$6+6),$AB25&gt;=L$6),"計","")))))</f>
        <v/>
      </c>
      <c r="M25" s="93" t="str">
        <f>IF($Y25="","",IF(AND($AG25&gt;=M$6,$AG25&lt;=(M$6+6)),"◆",IF(AND($AE25&lt;=(M$6+6),$AF25&gt;=M$6),"遅",IF(AND($AC25&lt;=(M$6+6),$AD25&gt;=M$6),IF(AND($AA25&lt;=(M$6+6),$AB25&gt;=M$6),"実","外"),IF(AND($AA25&lt;=(M$6+6),$AB25&gt;=M$6),"計","")))))</f>
        <v>計</v>
      </c>
      <c r="N25" s="93" t="str">
        <f>IF($Y25="","",IF(AND($AG25&gt;=N$6,$AG25&lt;=(N$6+6)),"◆",IF(AND($AE25&lt;=(N$6+6),$AF25&gt;=N$6),"遅",IF(AND($AC25&lt;=(N$6+6),$AD25&gt;=N$6),IF(AND($AA25&lt;=(N$6+6),$AB25&gt;=N$6),"実","外"),IF(AND($AA25&lt;=(N$6+6),$AB25&gt;=N$6),"計","")))))</f>
        <v/>
      </c>
      <c r="O25" s="93" t="str">
        <f>IF($Y25="","",IF(AND($AG25&gt;=O$6,$AG25&lt;=(O$6+6)),"◆",IF(AND($AE25&lt;=(O$6+6),$AF25&gt;=O$6),"遅",IF(AND($AC25&lt;=(O$6+6),$AD25&gt;=O$6),IF(AND($AA25&lt;=(O$6+6),$AB25&gt;=O$6),"実","外"),IF(AND($AA25&lt;=(O$6+6),$AB25&gt;=O$6),"計","")))))</f>
        <v/>
      </c>
      <c r="P25" s="93" t="str">
        <f>IF($Y25="","",IF(AND($AG25&gt;=P$6,$AG25&lt;=(P$6+6)),"◆",IF(AND($AE25&lt;=(P$6+6),$AF25&gt;=P$6),"遅",IF(AND($AC25&lt;=(P$6+6),$AD25&gt;=P$6),IF(AND($AA25&lt;=(P$6+6),$AB25&gt;=P$6),"実","外"),IF(AND($AA25&lt;=(P$6+6),$AB25&gt;=P$6),"計","")))))</f>
        <v>◆</v>
      </c>
      <c r="Q25" s="93" t="str">
        <f>IF($Y25="","",IF(AND($AG25&gt;=Q$6,$AG25&lt;=(Q$6+6)),"◆",IF(AND($AE25&lt;=(Q$6+6),$AF25&gt;=Q$6),"遅",IF(AND($AC25&lt;=(Q$6+6),$AD25&gt;=Q$6),IF(AND($AA25&lt;=(Q$6+6),$AB25&gt;=Q$6),"実","外"),IF(AND($AA25&lt;=(Q$6+6),$AB25&gt;=Q$6),"計","")))))</f>
        <v/>
      </c>
      <c r="R25" s="93" t="str">
        <f>IF($Y25="","",IF(AND($AG25&gt;=R$6,$AG25&lt;=(R$6+6)),"◆",IF(AND($AE25&lt;=(R$6+6),$AF25&gt;=R$6),"遅",IF(AND($AC25&lt;=(R$6+6),$AD25&gt;=R$6),IF(AND($AA25&lt;=(R$6+6),$AB25&gt;=R$6),"実","外"),IF(AND($AA25&lt;=(R$6+6),$AB25&gt;=R$6),"計","")))))</f>
        <v/>
      </c>
      <c r="S25" s="93" t="str">
        <f>IF($Y25="","",IF(AND($AG25&gt;=S$6,$AG25&lt;=(S$6+6)),"◆",IF(AND($AE25&lt;=(S$6+6),$AF25&gt;=S$6),"遅",IF(AND($AC25&lt;=(S$6+6),$AD25&gt;=S$6),IF(AND($AA25&lt;=(S$6+6),$AB25&gt;=S$6),"実","外"),IF(AND($AA25&lt;=(S$6+6),$AB25&gt;=S$6),"計","")))))</f>
        <v/>
      </c>
      <c r="T25" s="93" t="str">
        <f>IF($Y25="","",IF(AND($AG25&gt;=T$6,$AG25&lt;=(T$6+6)),"◆",IF(AND($AE25&lt;=(T$6+6),$AF25&gt;=T$6),"遅",IF(AND($AC25&lt;=(T$6+6),$AD25&gt;=T$6),IF(AND($AA25&lt;=(T$6+6),$AB25&gt;=T$6),"実","外"),IF(AND($AA25&lt;=(T$6+6),$AB25&gt;=T$6),"計","")))))</f>
        <v/>
      </c>
      <c r="U25" s="93" t="str">
        <f>IF($Y25="","",IF(AND($AG25&gt;=U$6,$AG25&lt;=(U$6+6)),"◆",IF(AND($AE25&lt;=(U$6+6),$AF25&gt;=U$6),"遅",IF(AND($AC25&lt;=(U$6+6),$AD25&gt;=U$6),IF(AND($AA25&lt;=(U$6+6),$AB25&gt;=U$6),"実","外"),IF(AND($AA25&lt;=(U$6+6),$AB25&gt;=U$6),"計","")))))</f>
        <v/>
      </c>
      <c r="V25" s="93" t="str">
        <f>IF($Y25="","",IF(AND($AG25&gt;=V$6,$AG25&lt;=(V$6+6)),"◆",IF(AND($AE25&lt;=(V$6+6),$AF25&gt;=V$6),"遅",IF(AND($AC25&lt;=(V$6+6),$AD25&gt;=V$6),IF(AND($AA25&lt;=(V$6+6),$AB25&gt;=V$6),"実","外"),IF(AND($AA25&lt;=(V$6+6),$AB25&gt;=V$6),"計","")))))</f>
        <v/>
      </c>
      <c r="W25" s="93" t="str">
        <f>IF($Y25="","",IF(AND($AG25&gt;=W$6,$AG25&lt;=(W$6+6)),"◆",IF(AND($AE25&lt;=(W$6+6),$AF25&gt;=W$6),"遅",IF(AND($AC25&lt;=(W$6+6),$AD25&gt;=W$6),IF(AND($AA25&lt;=(W$6+6),$AB25&gt;=W$6),"実","外"),IF(AND($AA25&lt;=(W$6+6),$AB25&gt;=W$6),"計","")))))</f>
        <v/>
      </c>
      <c r="Y25">
        <f>IF(18&gt;COUNTIF(tblSteps[週別対象],1),"",IFERROR(MATCH(18,tblSteps[週別順位],0),""))</f>
        <v>26</v>
      </c>
      <c r="Z25" t="str">
        <f>IF($Y25="","",INDEX(tblSteps[案件ID],$Y25)&amp;"")</f>
        <v>A0021</v>
      </c>
      <c r="AA25">
        <f>IF($Y25="","",INDEX(tblSteps[計開],$Y25))</f>
        <v>46300</v>
      </c>
      <c r="AB25">
        <f>IF($Y25="","",INDEX(tblSteps[計終],$Y25))</f>
        <v>46300</v>
      </c>
      <c r="AC25">
        <f>IF($Y25="","",INDEX(tblSteps[実開],$Y25))</f>
        <v>1</v>
      </c>
      <c r="AD25">
        <f>IF($Y25="","",INDEX(tblSteps[実終],$Y25))</f>
        <v>0</v>
      </c>
      <c r="AE25">
        <f>IF($Y25="","",INDEX(tblSteps[遅開],$Y25))</f>
        <v>46301</v>
      </c>
      <c r="AF25">
        <f>IF($Y25="","",INDEX(tblSteps[遅終],$Y25))</f>
        <v>0</v>
      </c>
      <c r="AG25">
        <f>IF($Y25="","",INDEX(tblSteps[納期値],$Y25))</f>
        <v>46325</v>
      </c>
    </row>
    <row r="26" ht="18" customHeight="1">
      <c r="A26" s="89" t="str">
        <f>IF($Y26="","",INDEX(tblSteps[工程ID],$Y26)&amp;"")</f>
        <v>S0013</v>
      </c>
      <c r="B26" s="88" t="str">
        <f>IF($Y26="","",IF($Z26=$Z25,"",$Z26&amp;" "&amp;INDEX(tblSteps[案件名],$Y26)))</f>
        <v/>
      </c>
      <c r="C26" s="88" t="str">
        <f>IF($Y26="","",INDEX(tblSteps[工程名],$Y26)&amp;"")</f>
        <v>コンベヤ設置</v>
      </c>
      <c r="D26" s="89" t="str">
        <f>IF($Y26="","",INDEX(tblSteps[担当],$Y26)&amp;"")</f>
        <v>協力会社A</v>
      </c>
      <c r="E26" s="89" t="str">
        <f>IF($Y26="","",INDEX(tblSteps[状態],$Y26)&amp;"")</f>
        <v>未着手</v>
      </c>
      <c r="F26" s="90">
        <f>IF($Y26="","",IF(ISNUMBER(INDEX(tblSteps[進捗率],$Y26)),INDEX(tblSteps[進捗率],$Y26),""))</f>
        <v>0</v>
      </c>
      <c r="G26" s="91">
        <f>IF($Y26="","",IF(ISNUMBER(INDEX(tblSteps[計画開始日],$Y26)),INDEX(tblSteps[計画開始日],$Y26),"未入力"))</f>
        <v>46308.0</v>
      </c>
      <c r="H26" s="91">
        <f>IF($Y26="","",IF(ISNUMBER(INDEX(tblSteps[計画終了日],$Y26)),INDEX(tblSteps[計画終了日],$Y26),"未入力"))</f>
        <v>46318.0</v>
      </c>
      <c r="I26" s="91" t="str">
        <f>IF($Y26="","",IF(ISNUMBER(INDEX(tblSteps[完了見込日],$Y26)),INDEX(tblSteps[完了見込日],$Y26),""))</f>
        <v/>
      </c>
      <c r="J26" s="92" t="str">
        <f>IF($Y26="","",INDEX(tblSteps[注意短],$Y26)&amp;"")</f>
        <v/>
      </c>
      <c r="K26" s="93" t="str">
        <f>IF($Y26="","",IF(AND($AG26&gt;=K$6,$AG26&lt;=(K$6+6)),"◆",IF(AND($AE26&lt;=(K$6+6),$AF26&gt;=K$6),"遅",IF(AND($AC26&lt;=(K$6+6),$AD26&gt;=K$6),IF(AND($AA26&lt;=(K$6+6),$AB26&gt;=K$6),"実","外"),IF(AND($AA26&lt;=(K$6+6),$AB26&gt;=K$6),"計","")))))</f>
        <v/>
      </c>
      <c r="L26" s="93" t="str">
        <f>IF($Y26="","",IF(AND($AG26&gt;=L$6,$AG26&lt;=(L$6+6)),"◆",IF(AND($AE26&lt;=(L$6+6),$AF26&gt;=L$6),"遅",IF(AND($AC26&lt;=(L$6+6),$AD26&gt;=L$6),IF(AND($AA26&lt;=(L$6+6),$AB26&gt;=L$6),"実","外"),IF(AND($AA26&lt;=(L$6+6),$AB26&gt;=L$6),"計","")))))</f>
        <v/>
      </c>
      <c r="M26" s="93" t="str">
        <f>IF($Y26="","",IF(AND($AG26&gt;=M$6,$AG26&lt;=(M$6+6)),"◆",IF(AND($AE26&lt;=(M$6+6),$AF26&gt;=M$6),"遅",IF(AND($AC26&lt;=(M$6+6),$AD26&gt;=M$6),IF(AND($AA26&lt;=(M$6+6),$AB26&gt;=M$6),"実","外"),IF(AND($AA26&lt;=(M$6+6),$AB26&gt;=M$6),"計","")))))</f>
        <v/>
      </c>
      <c r="N26" s="93" t="str">
        <f>IF($Y26="","",IF(AND($AG26&gt;=N$6,$AG26&lt;=(N$6+6)),"◆",IF(AND($AE26&lt;=(N$6+6),$AF26&gt;=N$6),"遅",IF(AND($AC26&lt;=(N$6+6),$AD26&gt;=N$6),IF(AND($AA26&lt;=(N$6+6),$AB26&gt;=N$6),"実","外"),IF(AND($AA26&lt;=(N$6+6),$AB26&gt;=N$6),"計","")))))</f>
        <v>計</v>
      </c>
      <c r="O26" s="93" t="str">
        <f>IF($Y26="","",IF(AND($AG26&gt;=O$6,$AG26&lt;=(O$6+6)),"◆",IF(AND($AE26&lt;=(O$6+6),$AF26&gt;=O$6),"遅",IF(AND($AC26&lt;=(O$6+6),$AD26&gt;=O$6),IF(AND($AA26&lt;=(O$6+6),$AB26&gt;=O$6),"実","外"),IF(AND($AA26&lt;=(O$6+6),$AB26&gt;=O$6),"計","")))))</f>
        <v>計</v>
      </c>
      <c r="P26" s="93" t="str">
        <f>IF($Y26="","",IF(AND($AG26&gt;=P$6,$AG26&lt;=(P$6+6)),"◆",IF(AND($AE26&lt;=(P$6+6),$AF26&gt;=P$6),"遅",IF(AND($AC26&lt;=(P$6+6),$AD26&gt;=P$6),IF(AND($AA26&lt;=(P$6+6),$AB26&gt;=P$6),"実","外"),IF(AND($AA26&lt;=(P$6+6),$AB26&gt;=P$6),"計","")))))</f>
        <v>◆</v>
      </c>
      <c r="Q26" s="93" t="str">
        <f>IF($Y26="","",IF(AND($AG26&gt;=Q$6,$AG26&lt;=(Q$6+6)),"◆",IF(AND($AE26&lt;=(Q$6+6),$AF26&gt;=Q$6),"遅",IF(AND($AC26&lt;=(Q$6+6),$AD26&gt;=Q$6),IF(AND($AA26&lt;=(Q$6+6),$AB26&gt;=Q$6),"実","外"),IF(AND($AA26&lt;=(Q$6+6),$AB26&gt;=Q$6),"計","")))))</f>
        <v/>
      </c>
      <c r="R26" s="93" t="str">
        <f>IF($Y26="","",IF(AND($AG26&gt;=R$6,$AG26&lt;=(R$6+6)),"◆",IF(AND($AE26&lt;=(R$6+6),$AF26&gt;=R$6),"遅",IF(AND($AC26&lt;=(R$6+6),$AD26&gt;=R$6),IF(AND($AA26&lt;=(R$6+6),$AB26&gt;=R$6),"実","外"),IF(AND($AA26&lt;=(R$6+6),$AB26&gt;=R$6),"計","")))))</f>
        <v/>
      </c>
      <c r="S26" s="93" t="str">
        <f>IF($Y26="","",IF(AND($AG26&gt;=S$6,$AG26&lt;=(S$6+6)),"◆",IF(AND($AE26&lt;=(S$6+6),$AF26&gt;=S$6),"遅",IF(AND($AC26&lt;=(S$6+6),$AD26&gt;=S$6),IF(AND($AA26&lt;=(S$6+6),$AB26&gt;=S$6),"実","外"),IF(AND($AA26&lt;=(S$6+6),$AB26&gt;=S$6),"計","")))))</f>
        <v/>
      </c>
      <c r="T26" s="93" t="str">
        <f>IF($Y26="","",IF(AND($AG26&gt;=T$6,$AG26&lt;=(T$6+6)),"◆",IF(AND($AE26&lt;=(T$6+6),$AF26&gt;=T$6),"遅",IF(AND($AC26&lt;=(T$6+6),$AD26&gt;=T$6),IF(AND($AA26&lt;=(T$6+6),$AB26&gt;=T$6),"実","外"),IF(AND($AA26&lt;=(T$6+6),$AB26&gt;=T$6),"計","")))))</f>
        <v/>
      </c>
      <c r="U26" s="93" t="str">
        <f>IF($Y26="","",IF(AND($AG26&gt;=U$6,$AG26&lt;=(U$6+6)),"◆",IF(AND($AE26&lt;=(U$6+6),$AF26&gt;=U$6),"遅",IF(AND($AC26&lt;=(U$6+6),$AD26&gt;=U$6),IF(AND($AA26&lt;=(U$6+6),$AB26&gt;=U$6),"実","外"),IF(AND($AA26&lt;=(U$6+6),$AB26&gt;=U$6),"計","")))))</f>
        <v/>
      </c>
      <c r="V26" s="93" t="str">
        <f>IF($Y26="","",IF(AND($AG26&gt;=V$6,$AG26&lt;=(V$6+6)),"◆",IF(AND($AE26&lt;=(V$6+6),$AF26&gt;=V$6),"遅",IF(AND($AC26&lt;=(V$6+6),$AD26&gt;=V$6),IF(AND($AA26&lt;=(V$6+6),$AB26&gt;=V$6),"実","外"),IF(AND($AA26&lt;=(V$6+6),$AB26&gt;=V$6),"計","")))))</f>
        <v/>
      </c>
      <c r="W26" s="93" t="str">
        <f>IF($Y26="","",IF(AND($AG26&gt;=W$6,$AG26&lt;=(W$6+6)),"◆",IF(AND($AE26&lt;=(W$6+6),$AF26&gt;=W$6),"遅",IF(AND($AC26&lt;=(W$6+6),$AD26&gt;=W$6),IF(AND($AA26&lt;=(W$6+6),$AB26&gt;=W$6),"実","外"),IF(AND($AA26&lt;=(W$6+6),$AB26&gt;=W$6),"計","")))))</f>
        <v/>
      </c>
      <c r="Y26">
        <f>IF(19&gt;COUNTIF(tblSteps[週別対象],1),"",IFERROR(MATCH(19,tblSteps[週別順位],0),""))</f>
        <v>13</v>
      </c>
      <c r="Z26" t="str">
        <f>IF($Y26="","",INDEX(tblSteps[案件ID],$Y26)&amp;"")</f>
        <v>A0021</v>
      </c>
      <c r="AA26">
        <f>IF($Y26="","",INDEX(tblSteps[計開],$Y26))</f>
        <v>46308</v>
      </c>
      <c r="AB26">
        <f>IF($Y26="","",INDEX(tblSteps[計終],$Y26))</f>
        <v>46318</v>
      </c>
      <c r="AC26">
        <f>IF($Y26="","",INDEX(tblSteps[実開],$Y26))</f>
        <v>1</v>
      </c>
      <c r="AD26">
        <f>IF($Y26="","",INDEX(tblSteps[実終],$Y26))</f>
        <v>0</v>
      </c>
      <c r="AE26">
        <f>IF($Y26="","",INDEX(tblSteps[遅開],$Y26))</f>
        <v>46319</v>
      </c>
      <c r="AF26">
        <f>IF($Y26="","",INDEX(tblSteps[遅終],$Y26))</f>
        <v>0</v>
      </c>
      <c r="AG26">
        <f>IF($Y26="","",INDEX(tblSteps[納期値],$Y26))</f>
        <v>46325</v>
      </c>
    </row>
    <row r="27" ht="18" customHeight="1">
      <c r="A27" s="89" t="str">
        <f>IF($Y27="","",INDEX(tblSteps[工程ID],$Y27)&amp;"")</f>
        <v>S0014</v>
      </c>
      <c r="B27" s="88" t="str">
        <f>IF($Y27="","",IF($Z27=$Z26,"",$Z27&amp;" "&amp;INDEX(tblSteps[案件名],$Y27)))</f>
        <v/>
      </c>
      <c r="C27" s="88" t="str">
        <f>IF($Y27="","",INDEX(tblSteps[工程名],$Y27)&amp;"")</f>
        <v>電気配線</v>
      </c>
      <c r="D27" s="89" t="str">
        <f>IF($Y27="","",INDEX(tblSteps[担当],$Y27)&amp;"")</f>
        <v>伊藤</v>
      </c>
      <c r="E27" s="89" t="str">
        <f>IF($Y27="","",INDEX(tblSteps[状態],$Y27)&amp;"")</f>
        <v>未着手</v>
      </c>
      <c r="F27" s="90">
        <f>IF($Y27="","",IF(ISNUMBER(INDEX(tblSteps[進捗率],$Y27)),INDEX(tblSteps[進捗率],$Y27),""))</f>
        <v>0</v>
      </c>
      <c r="G27" s="91">
        <f>IF($Y27="","",IF(ISNUMBER(INDEX(tblSteps[計画開始日],$Y27)),INDEX(tblSteps[計画開始日],$Y27),"未入力"))</f>
        <v>46314.0</v>
      </c>
      <c r="H27" s="91">
        <f>IF($Y27="","",IF(ISNUMBER(INDEX(tblSteps[計画終了日],$Y27)),INDEX(tblSteps[計画終了日],$Y27),"未入力"))</f>
        <v>46322.0</v>
      </c>
      <c r="I27" s="91" t="str">
        <f>IF($Y27="","",IF(ISNUMBER(INDEX(tblSteps[完了見込日],$Y27)),INDEX(tblSteps[完了見込日],$Y27),""))</f>
        <v/>
      </c>
      <c r="J27" s="92" t="str">
        <f>IF($Y27="","",INDEX(tblSteps[注意短],$Y27)&amp;"")</f>
        <v/>
      </c>
      <c r="K27" s="93" t="str">
        <f>IF($Y27="","",IF(AND($AG27&gt;=K$6,$AG27&lt;=(K$6+6)),"◆",IF(AND($AE27&lt;=(K$6+6),$AF27&gt;=K$6),"遅",IF(AND($AC27&lt;=(K$6+6),$AD27&gt;=K$6),IF(AND($AA27&lt;=(K$6+6),$AB27&gt;=K$6),"実","外"),IF(AND($AA27&lt;=(K$6+6),$AB27&gt;=K$6),"計","")))))</f>
        <v/>
      </c>
      <c r="L27" s="93" t="str">
        <f>IF($Y27="","",IF(AND($AG27&gt;=L$6,$AG27&lt;=(L$6+6)),"◆",IF(AND($AE27&lt;=(L$6+6),$AF27&gt;=L$6),"遅",IF(AND($AC27&lt;=(L$6+6),$AD27&gt;=L$6),IF(AND($AA27&lt;=(L$6+6),$AB27&gt;=L$6),"実","外"),IF(AND($AA27&lt;=(L$6+6),$AB27&gt;=L$6),"計","")))))</f>
        <v/>
      </c>
      <c r="M27" s="93" t="str">
        <f>IF($Y27="","",IF(AND($AG27&gt;=M$6,$AG27&lt;=(M$6+6)),"◆",IF(AND($AE27&lt;=(M$6+6),$AF27&gt;=M$6),"遅",IF(AND($AC27&lt;=(M$6+6),$AD27&gt;=M$6),IF(AND($AA27&lt;=(M$6+6),$AB27&gt;=M$6),"実","外"),IF(AND($AA27&lt;=(M$6+6),$AB27&gt;=M$6),"計","")))))</f>
        <v/>
      </c>
      <c r="N27" s="93" t="str">
        <f>IF($Y27="","",IF(AND($AG27&gt;=N$6,$AG27&lt;=(N$6+6)),"◆",IF(AND($AE27&lt;=(N$6+6),$AF27&gt;=N$6),"遅",IF(AND($AC27&lt;=(N$6+6),$AD27&gt;=N$6),IF(AND($AA27&lt;=(N$6+6),$AB27&gt;=N$6),"実","外"),IF(AND($AA27&lt;=(N$6+6),$AB27&gt;=N$6),"計","")))))</f>
        <v/>
      </c>
      <c r="O27" s="93" t="str">
        <f>IF($Y27="","",IF(AND($AG27&gt;=O$6,$AG27&lt;=(O$6+6)),"◆",IF(AND($AE27&lt;=(O$6+6),$AF27&gt;=O$6),"遅",IF(AND($AC27&lt;=(O$6+6),$AD27&gt;=O$6),IF(AND($AA27&lt;=(O$6+6),$AB27&gt;=O$6),"実","外"),IF(AND($AA27&lt;=(O$6+6),$AB27&gt;=O$6),"計","")))))</f>
        <v>計</v>
      </c>
      <c r="P27" s="93" t="str">
        <f>IF($Y27="","",IF(AND($AG27&gt;=P$6,$AG27&lt;=(P$6+6)),"◆",IF(AND($AE27&lt;=(P$6+6),$AF27&gt;=P$6),"遅",IF(AND($AC27&lt;=(P$6+6),$AD27&gt;=P$6),IF(AND($AA27&lt;=(P$6+6),$AB27&gt;=P$6),"実","外"),IF(AND($AA27&lt;=(P$6+6),$AB27&gt;=P$6),"計","")))))</f>
        <v>◆</v>
      </c>
      <c r="Q27" s="93" t="str">
        <f>IF($Y27="","",IF(AND($AG27&gt;=Q$6,$AG27&lt;=(Q$6+6)),"◆",IF(AND($AE27&lt;=(Q$6+6),$AF27&gt;=Q$6),"遅",IF(AND($AC27&lt;=(Q$6+6),$AD27&gt;=Q$6),IF(AND($AA27&lt;=(Q$6+6),$AB27&gt;=Q$6),"実","外"),IF(AND($AA27&lt;=(Q$6+6),$AB27&gt;=Q$6),"計","")))))</f>
        <v/>
      </c>
      <c r="R27" s="93" t="str">
        <f>IF($Y27="","",IF(AND($AG27&gt;=R$6,$AG27&lt;=(R$6+6)),"◆",IF(AND($AE27&lt;=(R$6+6),$AF27&gt;=R$6),"遅",IF(AND($AC27&lt;=(R$6+6),$AD27&gt;=R$6),IF(AND($AA27&lt;=(R$6+6),$AB27&gt;=R$6),"実","外"),IF(AND($AA27&lt;=(R$6+6),$AB27&gt;=R$6),"計","")))))</f>
        <v/>
      </c>
      <c r="S27" s="93" t="str">
        <f>IF($Y27="","",IF(AND($AG27&gt;=S$6,$AG27&lt;=(S$6+6)),"◆",IF(AND($AE27&lt;=(S$6+6),$AF27&gt;=S$6),"遅",IF(AND($AC27&lt;=(S$6+6),$AD27&gt;=S$6),IF(AND($AA27&lt;=(S$6+6),$AB27&gt;=S$6),"実","外"),IF(AND($AA27&lt;=(S$6+6),$AB27&gt;=S$6),"計","")))))</f>
        <v/>
      </c>
      <c r="T27" s="93" t="str">
        <f>IF($Y27="","",IF(AND($AG27&gt;=T$6,$AG27&lt;=(T$6+6)),"◆",IF(AND($AE27&lt;=(T$6+6),$AF27&gt;=T$6),"遅",IF(AND($AC27&lt;=(T$6+6),$AD27&gt;=T$6),IF(AND($AA27&lt;=(T$6+6),$AB27&gt;=T$6),"実","外"),IF(AND($AA27&lt;=(T$6+6),$AB27&gt;=T$6),"計","")))))</f>
        <v/>
      </c>
      <c r="U27" s="93" t="str">
        <f>IF($Y27="","",IF(AND($AG27&gt;=U$6,$AG27&lt;=(U$6+6)),"◆",IF(AND($AE27&lt;=(U$6+6),$AF27&gt;=U$6),"遅",IF(AND($AC27&lt;=(U$6+6),$AD27&gt;=U$6),IF(AND($AA27&lt;=(U$6+6),$AB27&gt;=U$6),"実","外"),IF(AND($AA27&lt;=(U$6+6),$AB27&gt;=U$6),"計","")))))</f>
        <v/>
      </c>
      <c r="V27" s="93" t="str">
        <f>IF($Y27="","",IF(AND($AG27&gt;=V$6,$AG27&lt;=(V$6+6)),"◆",IF(AND($AE27&lt;=(V$6+6),$AF27&gt;=V$6),"遅",IF(AND($AC27&lt;=(V$6+6),$AD27&gt;=V$6),IF(AND($AA27&lt;=(V$6+6),$AB27&gt;=V$6),"実","外"),IF(AND($AA27&lt;=(V$6+6),$AB27&gt;=V$6),"計","")))))</f>
        <v/>
      </c>
      <c r="W27" s="93" t="str">
        <f>IF($Y27="","",IF(AND($AG27&gt;=W$6,$AG27&lt;=(W$6+6)),"◆",IF(AND($AE27&lt;=(W$6+6),$AF27&gt;=W$6),"遅",IF(AND($AC27&lt;=(W$6+6),$AD27&gt;=W$6),IF(AND($AA27&lt;=(W$6+6),$AB27&gt;=W$6),"実","外"),IF(AND($AA27&lt;=(W$6+6),$AB27&gt;=W$6),"計","")))))</f>
        <v/>
      </c>
      <c r="Y27">
        <f>IF(20&gt;COUNTIF(tblSteps[週別対象],1),"",IFERROR(MATCH(20,tblSteps[週別順位],0),""))</f>
        <v>14</v>
      </c>
      <c r="Z27" t="str">
        <f>IF($Y27="","",INDEX(tblSteps[案件ID],$Y27)&amp;"")</f>
        <v>A0021</v>
      </c>
      <c r="AA27">
        <f>IF($Y27="","",INDEX(tblSteps[計開],$Y27))</f>
        <v>46314</v>
      </c>
      <c r="AB27">
        <f>IF($Y27="","",INDEX(tblSteps[計終],$Y27))</f>
        <v>46322</v>
      </c>
      <c r="AC27">
        <f>IF($Y27="","",INDEX(tblSteps[実開],$Y27))</f>
        <v>1</v>
      </c>
      <c r="AD27">
        <f>IF($Y27="","",INDEX(tblSteps[実終],$Y27))</f>
        <v>0</v>
      </c>
      <c r="AE27">
        <f>IF($Y27="","",INDEX(tblSteps[遅開],$Y27))</f>
        <v>46323</v>
      </c>
      <c r="AF27">
        <f>IF($Y27="","",INDEX(tblSteps[遅終],$Y27))</f>
        <v>0</v>
      </c>
      <c r="AG27">
        <f>IF($Y27="","",INDEX(tblSteps[納期値],$Y27))</f>
        <v>46325</v>
      </c>
    </row>
    <row r="28" ht="18" customHeight="1">
      <c r="A28" s="89" t="str">
        <f>IF($Y28="","",INDEX(tblSteps[工程ID],$Y28)&amp;"")</f>
        <v>S0015</v>
      </c>
      <c r="B28" s="88" t="str">
        <f>IF($Y28="","",IF($Z28=$Z27,"",$Z28&amp;" "&amp;INDEX(tblSteps[案件名],$Y28)))</f>
        <v/>
      </c>
      <c r="C28" s="88" t="str">
        <f>IF($Y28="","",INDEX(tblSteps[工程名],$Y28)&amp;"")</f>
        <v>試運転調整</v>
      </c>
      <c r="D28" s="89" t="str">
        <f>IF($Y28="","",INDEX(tblSteps[担当],$Y28)&amp;"")</f>
        <v>高橋</v>
      </c>
      <c r="E28" s="89" t="str">
        <f>IF($Y28="","",INDEX(tblSteps[状態],$Y28)&amp;"")</f>
        <v>未着手</v>
      </c>
      <c r="F28" s="90">
        <f>IF($Y28="","",IF(ISNUMBER(INDEX(tblSteps[進捗率],$Y28)),INDEX(tblSteps[進捗率],$Y28),""))</f>
        <v>0</v>
      </c>
      <c r="G28" s="91">
        <f>IF($Y28="","",IF(ISNUMBER(INDEX(tblSteps[計画開始日],$Y28)),INDEX(tblSteps[計画開始日],$Y28),"未入力"))</f>
        <v>46323.0</v>
      </c>
      <c r="H28" s="91">
        <f>IF($Y28="","",IF(ISNUMBER(INDEX(tblSteps[計画終了日],$Y28)),INDEX(tblSteps[計画終了日],$Y28),"未入力"))</f>
        <v>46328.0</v>
      </c>
      <c r="I28" s="91" t="str">
        <f>IF($Y28="","",IF(ISNUMBER(INDEX(tblSteps[完了見込日],$Y28)),INDEX(tblSteps[完了見込日],$Y28),""))</f>
        <v/>
      </c>
      <c r="J28" s="92" t="str">
        <f>IF($Y28="","",INDEX(tblSteps[注意短],$Y28)&amp;"")</f>
        <v>納期遅れ見込</v>
      </c>
      <c r="K28" s="93" t="str">
        <f>IF($Y28="","",IF(AND($AG28&gt;=K$6,$AG28&lt;=(K$6+6)),"◆",IF(AND($AE28&lt;=(K$6+6),$AF28&gt;=K$6),"遅",IF(AND($AC28&lt;=(K$6+6),$AD28&gt;=K$6),IF(AND($AA28&lt;=(K$6+6),$AB28&gt;=K$6),"実","外"),IF(AND($AA28&lt;=(K$6+6),$AB28&gt;=K$6),"計","")))))</f>
        <v/>
      </c>
      <c r="L28" s="93" t="str">
        <f>IF($Y28="","",IF(AND($AG28&gt;=L$6,$AG28&lt;=(L$6+6)),"◆",IF(AND($AE28&lt;=(L$6+6),$AF28&gt;=L$6),"遅",IF(AND($AC28&lt;=(L$6+6),$AD28&gt;=L$6),IF(AND($AA28&lt;=(L$6+6),$AB28&gt;=L$6),"実","外"),IF(AND($AA28&lt;=(L$6+6),$AB28&gt;=L$6),"計","")))))</f>
        <v/>
      </c>
      <c r="M28" s="93" t="str">
        <f>IF($Y28="","",IF(AND($AG28&gt;=M$6,$AG28&lt;=(M$6+6)),"◆",IF(AND($AE28&lt;=(M$6+6),$AF28&gt;=M$6),"遅",IF(AND($AC28&lt;=(M$6+6),$AD28&gt;=M$6),IF(AND($AA28&lt;=(M$6+6),$AB28&gt;=M$6),"実","外"),IF(AND($AA28&lt;=(M$6+6),$AB28&gt;=M$6),"計","")))))</f>
        <v/>
      </c>
      <c r="N28" s="93" t="str">
        <f>IF($Y28="","",IF(AND($AG28&gt;=N$6,$AG28&lt;=(N$6+6)),"◆",IF(AND($AE28&lt;=(N$6+6),$AF28&gt;=N$6),"遅",IF(AND($AC28&lt;=(N$6+6),$AD28&gt;=N$6),IF(AND($AA28&lt;=(N$6+6),$AB28&gt;=N$6),"実","外"),IF(AND($AA28&lt;=(N$6+6),$AB28&gt;=N$6),"計","")))))</f>
        <v/>
      </c>
      <c r="O28" s="93" t="str">
        <f>IF($Y28="","",IF(AND($AG28&gt;=O$6,$AG28&lt;=(O$6+6)),"◆",IF(AND($AE28&lt;=(O$6+6),$AF28&gt;=O$6),"遅",IF(AND($AC28&lt;=(O$6+6),$AD28&gt;=O$6),IF(AND($AA28&lt;=(O$6+6),$AB28&gt;=O$6),"実","外"),IF(AND($AA28&lt;=(O$6+6),$AB28&gt;=O$6),"計","")))))</f>
        <v/>
      </c>
      <c r="P28" s="93" t="str">
        <f>IF($Y28="","",IF(AND($AG28&gt;=P$6,$AG28&lt;=(P$6+6)),"◆",IF(AND($AE28&lt;=(P$6+6),$AF28&gt;=P$6),"遅",IF(AND($AC28&lt;=(P$6+6),$AD28&gt;=P$6),IF(AND($AA28&lt;=(P$6+6),$AB28&gt;=P$6),"実","外"),IF(AND($AA28&lt;=(P$6+6),$AB28&gt;=P$6),"計","")))))</f>
        <v>◆</v>
      </c>
      <c r="Q28" s="93" t="str">
        <f>IF($Y28="","",IF(AND($AG28&gt;=Q$6,$AG28&lt;=(Q$6+6)),"◆",IF(AND($AE28&lt;=(Q$6+6),$AF28&gt;=Q$6),"遅",IF(AND($AC28&lt;=(Q$6+6),$AD28&gt;=Q$6),IF(AND($AA28&lt;=(Q$6+6),$AB28&gt;=Q$6),"実","外"),IF(AND($AA28&lt;=(Q$6+6),$AB28&gt;=Q$6),"計","")))))</f>
        <v>計</v>
      </c>
      <c r="R28" s="93" t="str">
        <f>IF($Y28="","",IF(AND($AG28&gt;=R$6,$AG28&lt;=(R$6+6)),"◆",IF(AND($AE28&lt;=(R$6+6),$AF28&gt;=R$6),"遅",IF(AND($AC28&lt;=(R$6+6),$AD28&gt;=R$6),IF(AND($AA28&lt;=(R$6+6),$AB28&gt;=R$6),"実","外"),IF(AND($AA28&lt;=(R$6+6),$AB28&gt;=R$6),"計","")))))</f>
        <v/>
      </c>
      <c r="S28" s="93" t="str">
        <f>IF($Y28="","",IF(AND($AG28&gt;=S$6,$AG28&lt;=(S$6+6)),"◆",IF(AND($AE28&lt;=(S$6+6),$AF28&gt;=S$6),"遅",IF(AND($AC28&lt;=(S$6+6),$AD28&gt;=S$6),IF(AND($AA28&lt;=(S$6+6),$AB28&gt;=S$6),"実","外"),IF(AND($AA28&lt;=(S$6+6),$AB28&gt;=S$6),"計","")))))</f>
        <v/>
      </c>
      <c r="T28" s="93" t="str">
        <f>IF($Y28="","",IF(AND($AG28&gt;=T$6,$AG28&lt;=(T$6+6)),"◆",IF(AND($AE28&lt;=(T$6+6),$AF28&gt;=T$6),"遅",IF(AND($AC28&lt;=(T$6+6),$AD28&gt;=T$6),IF(AND($AA28&lt;=(T$6+6),$AB28&gt;=T$6),"実","外"),IF(AND($AA28&lt;=(T$6+6),$AB28&gt;=T$6),"計","")))))</f>
        <v/>
      </c>
      <c r="U28" s="93" t="str">
        <f>IF($Y28="","",IF(AND($AG28&gt;=U$6,$AG28&lt;=(U$6+6)),"◆",IF(AND($AE28&lt;=(U$6+6),$AF28&gt;=U$6),"遅",IF(AND($AC28&lt;=(U$6+6),$AD28&gt;=U$6),IF(AND($AA28&lt;=(U$6+6),$AB28&gt;=U$6),"実","外"),IF(AND($AA28&lt;=(U$6+6),$AB28&gt;=U$6),"計","")))))</f>
        <v/>
      </c>
      <c r="V28" s="93" t="str">
        <f>IF($Y28="","",IF(AND($AG28&gt;=V$6,$AG28&lt;=(V$6+6)),"◆",IF(AND($AE28&lt;=(V$6+6),$AF28&gt;=V$6),"遅",IF(AND($AC28&lt;=(V$6+6),$AD28&gt;=V$6),IF(AND($AA28&lt;=(V$6+6),$AB28&gt;=V$6),"実","外"),IF(AND($AA28&lt;=(V$6+6),$AB28&gt;=V$6),"計","")))))</f>
        <v/>
      </c>
      <c r="W28" s="93" t="str">
        <f>IF($Y28="","",IF(AND($AG28&gt;=W$6,$AG28&lt;=(W$6+6)),"◆",IF(AND($AE28&lt;=(W$6+6),$AF28&gt;=W$6),"遅",IF(AND($AC28&lt;=(W$6+6),$AD28&gt;=W$6),IF(AND($AA28&lt;=(W$6+6),$AB28&gt;=W$6),"実","外"),IF(AND($AA28&lt;=(W$6+6),$AB28&gt;=W$6),"計","")))))</f>
        <v/>
      </c>
      <c r="Y28">
        <f>IF(21&gt;COUNTIF(tblSteps[週別対象],1),"",IFERROR(MATCH(21,tblSteps[週別順位],0),""))</f>
        <v>15</v>
      </c>
      <c r="Z28" t="str">
        <f>IF($Y28="","",INDEX(tblSteps[案件ID],$Y28)&amp;"")</f>
        <v>A0021</v>
      </c>
      <c r="AA28">
        <f>IF($Y28="","",INDEX(tblSteps[計開],$Y28))</f>
        <v>46323</v>
      </c>
      <c r="AB28">
        <f>IF($Y28="","",INDEX(tblSteps[計終],$Y28))</f>
        <v>46328</v>
      </c>
      <c r="AC28">
        <f>IF($Y28="","",INDEX(tblSteps[実開],$Y28))</f>
        <v>1</v>
      </c>
      <c r="AD28">
        <f>IF($Y28="","",INDEX(tblSteps[実終],$Y28))</f>
        <v>0</v>
      </c>
      <c r="AE28">
        <f>IF($Y28="","",INDEX(tblSteps[遅開],$Y28))</f>
        <v>46329</v>
      </c>
      <c r="AF28">
        <f>IF($Y28="","",INDEX(tblSteps[遅終],$Y28))</f>
        <v>0</v>
      </c>
      <c r="AG28">
        <f>IF($Y28="","",INDEX(tblSteps[納期値],$Y28))</f>
        <v>46325</v>
      </c>
    </row>
    <row r="29" ht="18" customHeight="1">
      <c r="A29" s="89" t="str">
        <f>IF($Y29="","",INDEX(tblSteps[工程ID],$Y29)&amp;"")</f>
        <v>S0016</v>
      </c>
      <c r="B29" s="88" t="str">
        <f>IF($Y29="","",IF($Z29=$Z28,"",$Z29&amp;" "&amp;INDEX(tblSteps[案件名],$Y29)))</f>
        <v>A0022 制御盤更新工事</v>
      </c>
      <c r="C29" s="88" t="str">
        <f>IF($Y29="","",INDEX(tblSteps[工程名],$Y29)&amp;"")</f>
        <v>仕様確認</v>
      </c>
      <c r="D29" s="89" t="str">
        <f>IF($Y29="","",INDEX(tblSteps[担当],$Y29)&amp;"")</f>
        <v>田中</v>
      </c>
      <c r="E29" s="89" t="str">
        <f>IF($Y29="","",INDEX(tblSteps[状態],$Y29)&amp;"")</f>
        <v>完了</v>
      </c>
      <c r="F29" s="90">
        <f>IF($Y29="","",IF(ISNUMBER(INDEX(tblSteps[進捗率],$Y29)),INDEX(tblSteps[進捗率],$Y29),""))</f>
        <v>1</v>
      </c>
      <c r="G29" s="91">
        <f>IF($Y29="","",IF(ISNUMBER(INDEX(tblSteps[計画開始日],$Y29)),INDEX(tblSteps[計画開始日],$Y29),"未入力"))</f>
        <v>46289.0</v>
      </c>
      <c r="H29" s="91">
        <f>IF($Y29="","",IF(ISNUMBER(INDEX(tblSteps[計画終了日],$Y29)),INDEX(tblSteps[計画終了日],$Y29),"未入力"))</f>
        <v>46296.0</v>
      </c>
      <c r="I29" s="91" t="str">
        <f>IF($Y29="","",IF(ISNUMBER(INDEX(tblSteps[完了見込日],$Y29)),INDEX(tblSteps[完了見込日],$Y29),""))</f>
        <v/>
      </c>
      <c r="J29" s="92" t="str">
        <f>IF($Y29="","",INDEX(tblSteps[注意短],$Y29)&amp;"")</f>
        <v>完了遅延1日</v>
      </c>
      <c r="K29" s="93" t="str">
        <f>IF($Y29="","",IF(AND($AG29&gt;=K$6,$AG29&lt;=(K$6+6)),"◆",IF(AND($AE29&lt;=(K$6+6),$AF29&gt;=K$6),"遅",IF(AND($AC29&lt;=(K$6+6),$AD29&gt;=K$6),IF(AND($AA29&lt;=(K$6+6),$AB29&gt;=K$6),"実","外"),IF(AND($AA29&lt;=(K$6+6),$AB29&gt;=K$6),"計","")))))</f>
        <v>実</v>
      </c>
      <c r="L29" s="93" t="str">
        <f>IF($Y29="","",IF(AND($AG29&gt;=L$6,$AG29&lt;=(L$6+6)),"◆",IF(AND($AE29&lt;=(L$6+6),$AF29&gt;=L$6),"遅",IF(AND($AC29&lt;=(L$6+6),$AD29&gt;=L$6),IF(AND($AA29&lt;=(L$6+6),$AB29&gt;=L$6),"実","外"),IF(AND($AA29&lt;=(L$6+6),$AB29&gt;=L$6),"計","")))))</f>
        <v>実</v>
      </c>
      <c r="M29" s="93" t="str">
        <f>IF($Y29="","",IF(AND($AG29&gt;=M$6,$AG29&lt;=(M$6+6)),"◆",IF(AND($AE29&lt;=(M$6+6),$AF29&gt;=M$6),"遅",IF(AND($AC29&lt;=(M$6+6),$AD29&gt;=M$6),IF(AND($AA29&lt;=(M$6+6),$AB29&gt;=M$6),"実","外"),IF(AND($AA29&lt;=(M$6+6),$AB29&gt;=M$6),"計","")))))</f>
        <v/>
      </c>
      <c r="N29" s="93" t="str">
        <f>IF($Y29="","",IF(AND($AG29&gt;=N$6,$AG29&lt;=(N$6+6)),"◆",IF(AND($AE29&lt;=(N$6+6),$AF29&gt;=N$6),"遅",IF(AND($AC29&lt;=(N$6+6),$AD29&gt;=N$6),IF(AND($AA29&lt;=(N$6+6),$AB29&gt;=N$6),"実","外"),IF(AND($AA29&lt;=(N$6+6),$AB29&gt;=N$6),"計","")))))</f>
        <v/>
      </c>
      <c r="O29" s="93" t="str">
        <f>IF($Y29="","",IF(AND($AG29&gt;=O$6,$AG29&lt;=(O$6+6)),"◆",IF(AND($AE29&lt;=(O$6+6),$AF29&gt;=O$6),"遅",IF(AND($AC29&lt;=(O$6+6),$AD29&gt;=O$6),IF(AND($AA29&lt;=(O$6+6),$AB29&gt;=O$6),"実","外"),IF(AND($AA29&lt;=(O$6+6),$AB29&gt;=O$6),"計","")))))</f>
        <v/>
      </c>
      <c r="P29" s="93" t="str">
        <f>IF($Y29="","",IF(AND($AG29&gt;=P$6,$AG29&lt;=(P$6+6)),"◆",IF(AND($AE29&lt;=(P$6+6),$AF29&gt;=P$6),"遅",IF(AND($AC29&lt;=(P$6+6),$AD29&gt;=P$6),IF(AND($AA29&lt;=(P$6+6),$AB29&gt;=P$6),"実","外"),IF(AND($AA29&lt;=(P$6+6),$AB29&gt;=P$6),"計","")))))</f>
        <v/>
      </c>
      <c r="Q29" s="93" t="str">
        <f>IF($Y29="","",IF(AND($AG29&gt;=Q$6,$AG29&lt;=(Q$6+6)),"◆",IF(AND($AE29&lt;=(Q$6+6),$AF29&gt;=Q$6),"遅",IF(AND($AC29&lt;=(Q$6+6),$AD29&gt;=Q$6),IF(AND($AA29&lt;=(Q$6+6),$AB29&gt;=Q$6),"実","外"),IF(AND($AA29&lt;=(Q$6+6),$AB29&gt;=Q$6),"計","")))))</f>
        <v/>
      </c>
      <c r="R29" s="93" t="str">
        <f>IF($Y29="","",IF(AND($AG29&gt;=R$6,$AG29&lt;=(R$6+6)),"◆",IF(AND($AE29&lt;=(R$6+6),$AF29&gt;=R$6),"遅",IF(AND($AC29&lt;=(R$6+6),$AD29&gt;=R$6),IF(AND($AA29&lt;=(R$6+6),$AB29&gt;=R$6),"実","外"),IF(AND($AA29&lt;=(R$6+6),$AB29&gt;=R$6),"計","")))))</f>
        <v/>
      </c>
      <c r="S29" s="93" t="str">
        <f>IF($Y29="","",IF(AND($AG29&gt;=S$6,$AG29&lt;=(S$6+6)),"◆",IF(AND($AE29&lt;=(S$6+6),$AF29&gt;=S$6),"遅",IF(AND($AC29&lt;=(S$6+6),$AD29&gt;=S$6),IF(AND($AA29&lt;=(S$6+6),$AB29&gt;=S$6),"実","外"),IF(AND($AA29&lt;=(S$6+6),$AB29&gt;=S$6),"計","")))))</f>
        <v>◆</v>
      </c>
      <c r="T29" s="93" t="str">
        <f>IF($Y29="","",IF(AND($AG29&gt;=T$6,$AG29&lt;=(T$6+6)),"◆",IF(AND($AE29&lt;=(T$6+6),$AF29&gt;=T$6),"遅",IF(AND($AC29&lt;=(T$6+6),$AD29&gt;=T$6),IF(AND($AA29&lt;=(T$6+6),$AB29&gt;=T$6),"実","外"),IF(AND($AA29&lt;=(T$6+6),$AB29&gt;=T$6),"計","")))))</f>
        <v/>
      </c>
      <c r="U29" s="93" t="str">
        <f>IF($Y29="","",IF(AND($AG29&gt;=U$6,$AG29&lt;=(U$6+6)),"◆",IF(AND($AE29&lt;=(U$6+6),$AF29&gt;=U$6),"遅",IF(AND($AC29&lt;=(U$6+6),$AD29&gt;=U$6),IF(AND($AA29&lt;=(U$6+6),$AB29&gt;=U$6),"実","外"),IF(AND($AA29&lt;=(U$6+6),$AB29&gt;=U$6),"計","")))))</f>
        <v/>
      </c>
      <c r="V29" s="93" t="str">
        <f>IF($Y29="","",IF(AND($AG29&gt;=V$6,$AG29&lt;=(V$6+6)),"◆",IF(AND($AE29&lt;=(V$6+6),$AF29&gt;=V$6),"遅",IF(AND($AC29&lt;=(V$6+6),$AD29&gt;=V$6),IF(AND($AA29&lt;=(V$6+6),$AB29&gt;=V$6),"実","外"),IF(AND($AA29&lt;=(V$6+6),$AB29&gt;=V$6),"計","")))))</f>
        <v/>
      </c>
      <c r="W29" s="93" t="str">
        <f>IF($Y29="","",IF(AND($AG29&gt;=W$6,$AG29&lt;=(W$6+6)),"◆",IF(AND($AE29&lt;=(W$6+6),$AF29&gt;=W$6),"遅",IF(AND($AC29&lt;=(W$6+6),$AD29&gt;=W$6),IF(AND($AA29&lt;=(W$6+6),$AB29&gt;=W$6),"実","外"),IF(AND($AA29&lt;=(W$6+6),$AB29&gt;=W$6),"計","")))))</f>
        <v/>
      </c>
      <c r="Y29">
        <f>IF(22&gt;COUNTIF(tblSteps[週別対象],1),"",IFERROR(MATCH(22,tblSteps[週別順位],0),""))</f>
        <v>16</v>
      </c>
      <c r="Z29" t="str">
        <f>IF($Y29="","",INDEX(tblSteps[案件ID],$Y29)&amp;"")</f>
        <v>A0022</v>
      </c>
      <c r="AA29">
        <f>IF($Y29="","",INDEX(tblSteps[計開],$Y29))</f>
        <v>46289</v>
      </c>
      <c r="AB29">
        <f>IF($Y29="","",INDEX(tblSteps[計終],$Y29))</f>
        <v>46296</v>
      </c>
      <c r="AC29">
        <f>IF($Y29="","",INDEX(tblSteps[実開],$Y29))</f>
        <v>46289</v>
      </c>
      <c r="AD29">
        <f>IF($Y29="","",INDEX(tblSteps[実終],$Y29))</f>
        <v>46297</v>
      </c>
      <c r="AE29">
        <f>IF($Y29="","",INDEX(tblSteps[遅開],$Y29))</f>
        <v>1</v>
      </c>
      <c r="AF29">
        <f>IF($Y29="","",INDEX(tblSteps[遅終],$Y29))</f>
        <v>0</v>
      </c>
      <c r="AG29">
        <f>IF($Y29="","",INDEX(tblSteps[納期値],$Y29))</f>
        <v>46346</v>
      </c>
    </row>
    <row r="30" ht="18" customHeight="1">
      <c r="A30" s="89" t="str">
        <f>IF($Y30="","",INDEX(tblSteps[工程ID],$Y30)&amp;"")</f>
        <v>S0017</v>
      </c>
      <c r="B30" s="88" t="str">
        <f>IF($Y30="","",IF($Z30=$Z29,"",$Z30&amp;" "&amp;INDEX(tblSteps[案件名],$Y30)))</f>
        <v/>
      </c>
      <c r="C30" s="88" t="str">
        <f>IF($Y30="","",INDEX(tblSteps[工程名],$Y30)&amp;"")</f>
        <v>制御盤製作</v>
      </c>
      <c r="D30" s="89" t="str">
        <f>IF($Y30="","",INDEX(tblSteps[担当],$Y30)&amp;"")</f>
        <v>協力会社B</v>
      </c>
      <c r="E30" s="89" t="str">
        <f>IF($Y30="","",INDEX(tblSteps[状態],$Y30)&amp;"")</f>
        <v>進行中</v>
      </c>
      <c r="F30" s="90">
        <f>IF($Y30="","",IF(ISNUMBER(INDEX(tblSteps[進捗率],$Y30)),INDEX(tblSteps[進捗率],$Y30),""))</f>
        <v>0.2</v>
      </c>
      <c r="G30" s="91">
        <f>IF($Y30="","",IF(ISNUMBER(INDEX(tblSteps[計画開始日],$Y30)),INDEX(tblSteps[計画開始日],$Y30),"未入力"))</f>
        <v>46297.0</v>
      </c>
      <c r="H30" s="91">
        <f>IF($Y30="","",IF(ISNUMBER(INDEX(tblSteps[計画終了日],$Y30)),INDEX(tblSteps[計画終了日],$Y30),"未入力"))</f>
        <v>46325.0</v>
      </c>
      <c r="I30" s="91">
        <f>IF($Y30="","",IF(ISNUMBER(INDEX(tblSteps[完了見込日],$Y30)),INDEX(tblSteps[完了見込日],$Y30),""))</f>
        <v>46332.0</v>
      </c>
      <c r="J30" s="92" t="str">
        <f>IF($Y30="","",INDEX(tblSteps[注意短],$Y30)&amp;"")</f>
        <v>見込+7日</v>
      </c>
      <c r="K30" s="93" t="str">
        <f>IF($Y30="","",IF(AND($AG30&gt;=K$6,$AG30&lt;=(K$6+6)),"◆",IF(AND($AE30&lt;=(K$6+6),$AF30&gt;=K$6),"遅",IF(AND($AC30&lt;=(K$6+6),$AD30&gt;=K$6),IF(AND($AA30&lt;=(K$6+6),$AB30&gt;=K$6),"実","外"),IF(AND($AA30&lt;=(K$6+6),$AB30&gt;=K$6),"計","")))))</f>
        <v/>
      </c>
      <c r="L30" s="93" t="str">
        <f>IF($Y30="","",IF(AND($AG30&gt;=L$6,$AG30&lt;=(L$6+6)),"◆",IF(AND($AE30&lt;=(L$6+6),$AF30&gt;=L$6),"遅",IF(AND($AC30&lt;=(L$6+6),$AD30&gt;=L$6),IF(AND($AA30&lt;=(L$6+6),$AB30&gt;=L$6),"実","外"),IF(AND($AA30&lt;=(L$6+6),$AB30&gt;=L$6),"計","")))))</f>
        <v>実</v>
      </c>
      <c r="M30" s="93" t="str">
        <f>IF($Y30="","",IF(AND($AG30&gt;=M$6,$AG30&lt;=(M$6+6)),"◆",IF(AND($AE30&lt;=(M$6+6),$AF30&gt;=M$6),"遅",IF(AND($AC30&lt;=(M$6+6),$AD30&gt;=M$6),IF(AND($AA30&lt;=(M$6+6),$AB30&gt;=M$6),"実","外"),IF(AND($AA30&lt;=(M$6+6),$AB30&gt;=M$6),"計","")))))</f>
        <v>実</v>
      </c>
      <c r="N30" s="93" t="str">
        <f>IF($Y30="","",IF(AND($AG30&gt;=N$6,$AG30&lt;=(N$6+6)),"◆",IF(AND($AE30&lt;=(N$6+6),$AF30&gt;=N$6),"遅",IF(AND($AC30&lt;=(N$6+6),$AD30&gt;=N$6),IF(AND($AA30&lt;=(N$6+6),$AB30&gt;=N$6),"実","外"),IF(AND($AA30&lt;=(N$6+6),$AB30&gt;=N$6),"計","")))))</f>
        <v>計</v>
      </c>
      <c r="O30" s="93" t="str">
        <f>IF($Y30="","",IF(AND($AG30&gt;=O$6,$AG30&lt;=(O$6+6)),"◆",IF(AND($AE30&lt;=(O$6+6),$AF30&gt;=O$6),"遅",IF(AND($AC30&lt;=(O$6+6),$AD30&gt;=O$6),IF(AND($AA30&lt;=(O$6+6),$AB30&gt;=O$6),"実","外"),IF(AND($AA30&lt;=(O$6+6),$AB30&gt;=O$6),"計","")))))</f>
        <v>計</v>
      </c>
      <c r="P30" s="93" t="str">
        <f>IF($Y30="","",IF(AND($AG30&gt;=P$6,$AG30&lt;=(P$6+6)),"◆",IF(AND($AE30&lt;=(P$6+6),$AF30&gt;=P$6),"遅",IF(AND($AC30&lt;=(P$6+6),$AD30&gt;=P$6),IF(AND($AA30&lt;=(P$6+6),$AB30&gt;=P$6),"実","外"),IF(AND($AA30&lt;=(P$6+6),$AB30&gt;=P$6),"計","")))))</f>
        <v>遅</v>
      </c>
      <c r="Q30" s="93" t="str">
        <f>IF($Y30="","",IF(AND($AG30&gt;=Q$6,$AG30&lt;=(Q$6+6)),"◆",IF(AND($AE30&lt;=(Q$6+6),$AF30&gt;=Q$6),"遅",IF(AND($AC30&lt;=(Q$6+6),$AD30&gt;=Q$6),IF(AND($AA30&lt;=(Q$6+6),$AB30&gt;=Q$6),"実","外"),IF(AND($AA30&lt;=(Q$6+6),$AB30&gt;=Q$6),"計","")))))</f>
        <v>遅</v>
      </c>
      <c r="R30" s="93" t="str">
        <f>IF($Y30="","",IF(AND($AG30&gt;=R$6,$AG30&lt;=(R$6+6)),"◆",IF(AND($AE30&lt;=(R$6+6),$AF30&gt;=R$6),"遅",IF(AND($AC30&lt;=(R$6+6),$AD30&gt;=R$6),IF(AND($AA30&lt;=(R$6+6),$AB30&gt;=R$6),"実","外"),IF(AND($AA30&lt;=(R$6+6),$AB30&gt;=R$6),"計","")))))</f>
        <v/>
      </c>
      <c r="S30" s="93" t="str">
        <f>IF($Y30="","",IF(AND($AG30&gt;=S$6,$AG30&lt;=(S$6+6)),"◆",IF(AND($AE30&lt;=(S$6+6),$AF30&gt;=S$6),"遅",IF(AND($AC30&lt;=(S$6+6),$AD30&gt;=S$6),IF(AND($AA30&lt;=(S$6+6),$AB30&gt;=S$6),"実","外"),IF(AND($AA30&lt;=(S$6+6),$AB30&gt;=S$6),"計","")))))</f>
        <v>◆</v>
      </c>
      <c r="T30" s="93" t="str">
        <f>IF($Y30="","",IF(AND($AG30&gt;=T$6,$AG30&lt;=(T$6+6)),"◆",IF(AND($AE30&lt;=(T$6+6),$AF30&gt;=T$6),"遅",IF(AND($AC30&lt;=(T$6+6),$AD30&gt;=T$6),IF(AND($AA30&lt;=(T$6+6),$AB30&gt;=T$6),"実","外"),IF(AND($AA30&lt;=(T$6+6),$AB30&gt;=T$6),"計","")))))</f>
        <v/>
      </c>
      <c r="U30" s="93" t="str">
        <f>IF($Y30="","",IF(AND($AG30&gt;=U$6,$AG30&lt;=(U$6+6)),"◆",IF(AND($AE30&lt;=(U$6+6),$AF30&gt;=U$6),"遅",IF(AND($AC30&lt;=(U$6+6),$AD30&gt;=U$6),IF(AND($AA30&lt;=(U$6+6),$AB30&gt;=U$6),"実","外"),IF(AND($AA30&lt;=(U$6+6),$AB30&gt;=U$6),"計","")))))</f>
        <v/>
      </c>
      <c r="V30" s="93" t="str">
        <f>IF($Y30="","",IF(AND($AG30&gt;=V$6,$AG30&lt;=(V$6+6)),"◆",IF(AND($AE30&lt;=(V$6+6),$AF30&gt;=V$6),"遅",IF(AND($AC30&lt;=(V$6+6),$AD30&gt;=V$6),IF(AND($AA30&lt;=(V$6+6),$AB30&gt;=V$6),"実","外"),IF(AND($AA30&lt;=(V$6+6),$AB30&gt;=V$6),"計","")))))</f>
        <v/>
      </c>
      <c r="W30" s="93" t="str">
        <f>IF($Y30="","",IF(AND($AG30&gt;=W$6,$AG30&lt;=(W$6+6)),"◆",IF(AND($AE30&lt;=(W$6+6),$AF30&gt;=W$6),"遅",IF(AND($AC30&lt;=(W$6+6),$AD30&gt;=W$6),IF(AND($AA30&lt;=(W$6+6),$AB30&gt;=W$6),"実","外"),IF(AND($AA30&lt;=(W$6+6),$AB30&gt;=W$6),"計","")))))</f>
        <v/>
      </c>
      <c r="Y30">
        <f>IF(23&gt;COUNTIF(tblSteps[週別対象],1),"",IFERROR(MATCH(23,tblSteps[週別順位],0),""))</f>
        <v>17</v>
      </c>
      <c r="Z30" t="str">
        <f>IF($Y30="","",INDEX(tblSteps[案件ID],$Y30)&amp;"")</f>
        <v>A0022</v>
      </c>
      <c r="AA30">
        <f>IF($Y30="","",INDEX(tblSteps[計開],$Y30))</f>
        <v>46297</v>
      </c>
      <c r="AB30">
        <f>IF($Y30="","",INDEX(tblSteps[計終],$Y30))</f>
        <v>46325</v>
      </c>
      <c r="AC30">
        <f>IF($Y30="","",INDEX(tblSteps[実開],$Y30))</f>
        <v>46297</v>
      </c>
      <c r="AD30">
        <f>IF($Y30="","",INDEX(tblSteps[実終],$Y30))</f>
        <v>46300</v>
      </c>
      <c r="AE30">
        <f>IF($Y30="","",INDEX(tblSteps[遅開],$Y30))</f>
        <v>46326</v>
      </c>
      <c r="AF30">
        <f>IF($Y30="","",INDEX(tblSteps[遅終],$Y30))</f>
        <v>46332</v>
      </c>
      <c r="AG30">
        <f>IF($Y30="","",INDEX(tblSteps[納期値],$Y30))</f>
        <v>46346</v>
      </c>
    </row>
    <row r="31" ht="18" customHeight="1">
      <c r="A31" s="89" t="str">
        <f>IF($Y31="","",INDEX(tblSteps[工程ID],$Y31)&amp;"")</f>
        <v>S0018</v>
      </c>
      <c r="B31" s="88" t="str">
        <f>IF($Y31="","",IF($Z31=$Z30,"",$Z31&amp;" "&amp;INDEX(tblSteps[案件名],$Y31)))</f>
        <v/>
      </c>
      <c r="C31" s="88" t="str">
        <f>IF($Y31="","",INDEX(tblSteps[工程名],$Y31)&amp;"")</f>
        <v>現地打合せ</v>
      </c>
      <c r="D31" s="89" t="str">
        <f>IF($Y31="","",INDEX(tblSteps[担当],$Y31)&amp;"")</f>
        <v>田中</v>
      </c>
      <c r="E31" s="89" t="str">
        <f>IF($Y31="","",INDEX(tblSteps[状態],$Y31)&amp;"")</f>
        <v>未着手</v>
      </c>
      <c r="F31" s="90">
        <f>IF($Y31="","",IF(ISNUMBER(INDEX(tblSteps[進捗率],$Y31)),INDEX(tblSteps[進捗率],$Y31),""))</f>
        <v>0</v>
      </c>
      <c r="G31" s="91">
        <f>IF($Y31="","",IF(ISNUMBER(INDEX(tblSteps[計画開始日],$Y31)),INDEX(tblSteps[計画開始日],$Y31),"未入力"))</f>
        <v>46300.0</v>
      </c>
      <c r="H31" s="91">
        <f>IF($Y31="","",IF(ISNUMBER(INDEX(tblSteps[計画終了日],$Y31)),INDEX(tblSteps[計画終了日],$Y31),"未入力"))</f>
        <v>46300.0</v>
      </c>
      <c r="I31" s="91" t="str">
        <f>IF($Y31="","",IF(ISNUMBER(INDEX(tblSteps[完了見込日],$Y31)),INDEX(tblSteps[完了見込日],$Y31),""))</f>
        <v/>
      </c>
      <c r="J31" s="92" t="str">
        <f>IF($Y31="","",INDEX(tblSteps[注意短],$Y31)&amp;"")</f>
        <v/>
      </c>
      <c r="K31" s="93" t="str">
        <f>IF($Y31="","",IF(AND($AG31&gt;=K$6,$AG31&lt;=(K$6+6)),"◆",IF(AND($AE31&lt;=(K$6+6),$AF31&gt;=K$6),"遅",IF(AND($AC31&lt;=(K$6+6),$AD31&gt;=K$6),IF(AND($AA31&lt;=(K$6+6),$AB31&gt;=K$6),"実","外"),IF(AND($AA31&lt;=(K$6+6),$AB31&gt;=K$6),"計","")))))</f>
        <v/>
      </c>
      <c r="L31" s="93" t="str">
        <f>IF($Y31="","",IF(AND($AG31&gt;=L$6,$AG31&lt;=(L$6+6)),"◆",IF(AND($AE31&lt;=(L$6+6),$AF31&gt;=L$6),"遅",IF(AND($AC31&lt;=(L$6+6),$AD31&gt;=L$6),IF(AND($AA31&lt;=(L$6+6),$AB31&gt;=L$6),"実","外"),IF(AND($AA31&lt;=(L$6+6),$AB31&gt;=L$6),"計","")))))</f>
        <v/>
      </c>
      <c r="M31" s="93" t="str">
        <f>IF($Y31="","",IF(AND($AG31&gt;=M$6,$AG31&lt;=(M$6+6)),"◆",IF(AND($AE31&lt;=(M$6+6),$AF31&gt;=M$6),"遅",IF(AND($AC31&lt;=(M$6+6),$AD31&gt;=M$6),IF(AND($AA31&lt;=(M$6+6),$AB31&gt;=M$6),"実","外"),IF(AND($AA31&lt;=(M$6+6),$AB31&gt;=M$6),"計","")))))</f>
        <v>計</v>
      </c>
      <c r="N31" s="93" t="str">
        <f>IF($Y31="","",IF(AND($AG31&gt;=N$6,$AG31&lt;=(N$6+6)),"◆",IF(AND($AE31&lt;=(N$6+6),$AF31&gt;=N$6),"遅",IF(AND($AC31&lt;=(N$6+6),$AD31&gt;=N$6),IF(AND($AA31&lt;=(N$6+6),$AB31&gt;=N$6),"実","外"),IF(AND($AA31&lt;=(N$6+6),$AB31&gt;=N$6),"計","")))))</f>
        <v/>
      </c>
      <c r="O31" s="93" t="str">
        <f>IF($Y31="","",IF(AND($AG31&gt;=O$6,$AG31&lt;=(O$6+6)),"◆",IF(AND($AE31&lt;=(O$6+6),$AF31&gt;=O$6),"遅",IF(AND($AC31&lt;=(O$6+6),$AD31&gt;=O$6),IF(AND($AA31&lt;=(O$6+6),$AB31&gt;=O$6),"実","外"),IF(AND($AA31&lt;=(O$6+6),$AB31&gt;=O$6),"計","")))))</f>
        <v/>
      </c>
      <c r="P31" s="93" t="str">
        <f>IF($Y31="","",IF(AND($AG31&gt;=P$6,$AG31&lt;=(P$6+6)),"◆",IF(AND($AE31&lt;=(P$6+6),$AF31&gt;=P$6),"遅",IF(AND($AC31&lt;=(P$6+6),$AD31&gt;=P$6),IF(AND($AA31&lt;=(P$6+6),$AB31&gt;=P$6),"実","外"),IF(AND($AA31&lt;=(P$6+6),$AB31&gt;=P$6),"計","")))))</f>
        <v/>
      </c>
      <c r="Q31" s="93" t="str">
        <f>IF($Y31="","",IF(AND($AG31&gt;=Q$6,$AG31&lt;=(Q$6+6)),"◆",IF(AND($AE31&lt;=(Q$6+6),$AF31&gt;=Q$6),"遅",IF(AND($AC31&lt;=(Q$6+6),$AD31&gt;=Q$6),IF(AND($AA31&lt;=(Q$6+6),$AB31&gt;=Q$6),"実","外"),IF(AND($AA31&lt;=(Q$6+6),$AB31&gt;=Q$6),"計","")))))</f>
        <v/>
      </c>
      <c r="R31" s="93" t="str">
        <f>IF($Y31="","",IF(AND($AG31&gt;=R$6,$AG31&lt;=(R$6+6)),"◆",IF(AND($AE31&lt;=(R$6+6),$AF31&gt;=R$6),"遅",IF(AND($AC31&lt;=(R$6+6),$AD31&gt;=R$6),IF(AND($AA31&lt;=(R$6+6),$AB31&gt;=R$6),"実","外"),IF(AND($AA31&lt;=(R$6+6),$AB31&gt;=R$6),"計","")))))</f>
        <v/>
      </c>
      <c r="S31" s="93" t="str">
        <f>IF($Y31="","",IF(AND($AG31&gt;=S$6,$AG31&lt;=(S$6+6)),"◆",IF(AND($AE31&lt;=(S$6+6),$AF31&gt;=S$6),"遅",IF(AND($AC31&lt;=(S$6+6),$AD31&gt;=S$6),IF(AND($AA31&lt;=(S$6+6),$AB31&gt;=S$6),"実","外"),IF(AND($AA31&lt;=(S$6+6),$AB31&gt;=S$6),"計","")))))</f>
        <v>◆</v>
      </c>
      <c r="T31" s="93" t="str">
        <f>IF($Y31="","",IF(AND($AG31&gt;=T$6,$AG31&lt;=(T$6+6)),"◆",IF(AND($AE31&lt;=(T$6+6),$AF31&gt;=T$6),"遅",IF(AND($AC31&lt;=(T$6+6),$AD31&gt;=T$6),IF(AND($AA31&lt;=(T$6+6),$AB31&gt;=T$6),"実","外"),IF(AND($AA31&lt;=(T$6+6),$AB31&gt;=T$6),"計","")))))</f>
        <v/>
      </c>
      <c r="U31" s="93" t="str">
        <f>IF($Y31="","",IF(AND($AG31&gt;=U$6,$AG31&lt;=(U$6+6)),"◆",IF(AND($AE31&lt;=(U$6+6),$AF31&gt;=U$6),"遅",IF(AND($AC31&lt;=(U$6+6),$AD31&gt;=U$6),IF(AND($AA31&lt;=(U$6+6),$AB31&gt;=U$6),"実","外"),IF(AND($AA31&lt;=(U$6+6),$AB31&gt;=U$6),"計","")))))</f>
        <v/>
      </c>
      <c r="V31" s="93" t="str">
        <f>IF($Y31="","",IF(AND($AG31&gt;=V$6,$AG31&lt;=(V$6+6)),"◆",IF(AND($AE31&lt;=(V$6+6),$AF31&gt;=V$6),"遅",IF(AND($AC31&lt;=(V$6+6),$AD31&gt;=V$6),IF(AND($AA31&lt;=(V$6+6),$AB31&gt;=V$6),"実","外"),IF(AND($AA31&lt;=(V$6+6),$AB31&gt;=V$6),"計","")))))</f>
        <v/>
      </c>
      <c r="W31" s="93" t="str">
        <f>IF($Y31="","",IF(AND($AG31&gt;=W$6,$AG31&lt;=(W$6+6)),"◆",IF(AND($AE31&lt;=(W$6+6),$AF31&gt;=W$6),"遅",IF(AND($AC31&lt;=(W$6+6),$AD31&gt;=W$6),IF(AND($AA31&lt;=(W$6+6),$AB31&gt;=W$6),"実","外"),IF(AND($AA31&lt;=(W$6+6),$AB31&gt;=W$6),"計","")))))</f>
        <v/>
      </c>
      <c r="Y31">
        <f>IF(24&gt;COUNTIF(tblSteps[週別対象],1),"",IFERROR(MATCH(24,tblSteps[週別順位],0),""))</f>
        <v>18</v>
      </c>
      <c r="Z31" t="str">
        <f>IF($Y31="","",INDEX(tblSteps[案件ID],$Y31)&amp;"")</f>
        <v>A0022</v>
      </c>
      <c r="AA31">
        <f>IF($Y31="","",INDEX(tblSteps[計開],$Y31))</f>
        <v>46300</v>
      </c>
      <c r="AB31">
        <f>IF($Y31="","",INDEX(tblSteps[計終],$Y31))</f>
        <v>46300</v>
      </c>
      <c r="AC31">
        <f>IF($Y31="","",INDEX(tblSteps[実開],$Y31))</f>
        <v>1</v>
      </c>
      <c r="AD31">
        <f>IF($Y31="","",INDEX(tblSteps[実終],$Y31))</f>
        <v>0</v>
      </c>
      <c r="AE31">
        <f>IF($Y31="","",INDEX(tblSteps[遅開],$Y31))</f>
        <v>46301</v>
      </c>
      <c r="AF31">
        <f>IF($Y31="","",INDEX(tblSteps[遅終],$Y31))</f>
        <v>0</v>
      </c>
      <c r="AG31">
        <f>IF($Y31="","",INDEX(tblSteps[納期値],$Y31))</f>
        <v>46346</v>
      </c>
    </row>
    <row r="32" ht="18" customHeight="1">
      <c r="A32" s="89" t="str">
        <f>IF($Y32="","",INDEX(tblSteps[工程ID],$Y32)&amp;"")</f>
        <v>S0025</v>
      </c>
      <c r="B32" s="88" t="str">
        <f>IF($Y32="","",IF($Z32=$Z31,"",$Z32&amp;" "&amp;INDEX(tblSteps[案件名],$Y32)))</f>
        <v/>
      </c>
      <c r="C32" s="88" t="str">
        <f>IF($Y32="","",INDEX(tblSteps[工程名],$Y32)&amp;"")</f>
        <v>安全教育</v>
      </c>
      <c r="D32" s="89" t="str">
        <f>IF($Y32="","",INDEX(tblSteps[担当],$Y32)&amp;"")</f>
        <v>田中</v>
      </c>
      <c r="E32" s="89" t="str">
        <f>IF($Y32="","",INDEX(tblSteps[状態],$Y32)&amp;"")</f>
        <v>未着手</v>
      </c>
      <c r="F32" s="90">
        <f>IF($Y32="","",IF(ISNUMBER(INDEX(tblSteps[進捗率],$Y32)),INDEX(tblSteps[進捗率],$Y32),""))</f>
        <v>0</v>
      </c>
      <c r="G32" s="91">
        <f>IF($Y32="","",IF(ISNUMBER(INDEX(tblSteps[計画開始日],$Y32)),INDEX(tblSteps[計画開始日],$Y32),"未入力"))</f>
        <v>46300.0</v>
      </c>
      <c r="H32" s="91">
        <f>IF($Y32="","",IF(ISNUMBER(INDEX(tblSteps[計画終了日],$Y32)),INDEX(tblSteps[計画終了日],$Y32),"未入力"))</f>
        <v>46300.0</v>
      </c>
      <c r="I32" s="91" t="str">
        <f>IF($Y32="","",IF(ISNUMBER(INDEX(tblSteps[完了見込日],$Y32)),INDEX(tblSteps[完了見込日],$Y32),""))</f>
        <v/>
      </c>
      <c r="J32" s="92" t="str">
        <f>IF($Y32="","",INDEX(tblSteps[注意短],$Y32)&amp;"")</f>
        <v/>
      </c>
      <c r="K32" s="93" t="str">
        <f>IF($Y32="","",IF(AND($AG32&gt;=K$6,$AG32&lt;=(K$6+6)),"◆",IF(AND($AE32&lt;=(K$6+6),$AF32&gt;=K$6),"遅",IF(AND($AC32&lt;=(K$6+6),$AD32&gt;=K$6),IF(AND($AA32&lt;=(K$6+6),$AB32&gt;=K$6),"実","外"),IF(AND($AA32&lt;=(K$6+6),$AB32&gt;=K$6),"計","")))))</f>
        <v/>
      </c>
      <c r="L32" s="93" t="str">
        <f>IF($Y32="","",IF(AND($AG32&gt;=L$6,$AG32&lt;=(L$6+6)),"◆",IF(AND($AE32&lt;=(L$6+6),$AF32&gt;=L$6),"遅",IF(AND($AC32&lt;=(L$6+6),$AD32&gt;=L$6),IF(AND($AA32&lt;=(L$6+6),$AB32&gt;=L$6),"実","外"),IF(AND($AA32&lt;=(L$6+6),$AB32&gt;=L$6),"計","")))))</f>
        <v/>
      </c>
      <c r="M32" s="93" t="str">
        <f>IF($Y32="","",IF(AND($AG32&gt;=M$6,$AG32&lt;=(M$6+6)),"◆",IF(AND($AE32&lt;=(M$6+6),$AF32&gt;=M$6),"遅",IF(AND($AC32&lt;=(M$6+6),$AD32&gt;=M$6),IF(AND($AA32&lt;=(M$6+6),$AB32&gt;=M$6),"実","外"),IF(AND($AA32&lt;=(M$6+6),$AB32&gt;=M$6),"計","")))))</f>
        <v>計</v>
      </c>
      <c r="N32" s="93" t="str">
        <f>IF($Y32="","",IF(AND($AG32&gt;=N$6,$AG32&lt;=(N$6+6)),"◆",IF(AND($AE32&lt;=(N$6+6),$AF32&gt;=N$6),"遅",IF(AND($AC32&lt;=(N$6+6),$AD32&gt;=N$6),IF(AND($AA32&lt;=(N$6+6),$AB32&gt;=N$6),"実","外"),IF(AND($AA32&lt;=(N$6+6),$AB32&gt;=N$6),"計","")))))</f>
        <v/>
      </c>
      <c r="O32" s="93" t="str">
        <f>IF($Y32="","",IF(AND($AG32&gt;=O$6,$AG32&lt;=(O$6+6)),"◆",IF(AND($AE32&lt;=(O$6+6),$AF32&gt;=O$6),"遅",IF(AND($AC32&lt;=(O$6+6),$AD32&gt;=O$6),IF(AND($AA32&lt;=(O$6+6),$AB32&gt;=O$6),"実","外"),IF(AND($AA32&lt;=(O$6+6),$AB32&gt;=O$6),"計","")))))</f>
        <v/>
      </c>
      <c r="P32" s="93" t="str">
        <f>IF($Y32="","",IF(AND($AG32&gt;=P$6,$AG32&lt;=(P$6+6)),"◆",IF(AND($AE32&lt;=(P$6+6),$AF32&gt;=P$6),"遅",IF(AND($AC32&lt;=(P$6+6),$AD32&gt;=P$6),IF(AND($AA32&lt;=(P$6+6),$AB32&gt;=P$6),"実","外"),IF(AND($AA32&lt;=(P$6+6),$AB32&gt;=P$6),"計","")))))</f>
        <v/>
      </c>
      <c r="Q32" s="93" t="str">
        <f>IF($Y32="","",IF(AND($AG32&gt;=Q$6,$AG32&lt;=(Q$6+6)),"◆",IF(AND($AE32&lt;=(Q$6+6),$AF32&gt;=Q$6),"遅",IF(AND($AC32&lt;=(Q$6+6),$AD32&gt;=Q$6),IF(AND($AA32&lt;=(Q$6+6),$AB32&gt;=Q$6),"実","外"),IF(AND($AA32&lt;=(Q$6+6),$AB32&gt;=Q$6),"計","")))))</f>
        <v/>
      </c>
      <c r="R32" s="93" t="str">
        <f>IF($Y32="","",IF(AND($AG32&gt;=R$6,$AG32&lt;=(R$6+6)),"◆",IF(AND($AE32&lt;=(R$6+6),$AF32&gt;=R$6),"遅",IF(AND($AC32&lt;=(R$6+6),$AD32&gt;=R$6),IF(AND($AA32&lt;=(R$6+6),$AB32&gt;=R$6),"実","外"),IF(AND($AA32&lt;=(R$6+6),$AB32&gt;=R$6),"計","")))))</f>
        <v/>
      </c>
      <c r="S32" s="93" t="str">
        <f>IF($Y32="","",IF(AND($AG32&gt;=S$6,$AG32&lt;=(S$6+6)),"◆",IF(AND($AE32&lt;=(S$6+6),$AF32&gt;=S$6),"遅",IF(AND($AC32&lt;=(S$6+6),$AD32&gt;=S$6),IF(AND($AA32&lt;=(S$6+6),$AB32&gt;=S$6),"実","外"),IF(AND($AA32&lt;=(S$6+6),$AB32&gt;=S$6),"計","")))))</f>
        <v>◆</v>
      </c>
      <c r="T32" s="93" t="str">
        <f>IF($Y32="","",IF(AND($AG32&gt;=T$6,$AG32&lt;=(T$6+6)),"◆",IF(AND($AE32&lt;=(T$6+6),$AF32&gt;=T$6),"遅",IF(AND($AC32&lt;=(T$6+6),$AD32&gt;=T$6),IF(AND($AA32&lt;=(T$6+6),$AB32&gt;=T$6),"実","外"),IF(AND($AA32&lt;=(T$6+6),$AB32&gt;=T$6),"計","")))))</f>
        <v/>
      </c>
      <c r="U32" s="93" t="str">
        <f>IF($Y32="","",IF(AND($AG32&gt;=U$6,$AG32&lt;=(U$6+6)),"◆",IF(AND($AE32&lt;=(U$6+6),$AF32&gt;=U$6),"遅",IF(AND($AC32&lt;=(U$6+6),$AD32&gt;=U$6),IF(AND($AA32&lt;=(U$6+6),$AB32&gt;=U$6),"実","外"),IF(AND($AA32&lt;=(U$6+6),$AB32&gt;=U$6),"計","")))))</f>
        <v/>
      </c>
      <c r="V32" s="93" t="str">
        <f>IF($Y32="","",IF(AND($AG32&gt;=V$6,$AG32&lt;=(V$6+6)),"◆",IF(AND($AE32&lt;=(V$6+6),$AF32&gt;=V$6),"遅",IF(AND($AC32&lt;=(V$6+6),$AD32&gt;=V$6),IF(AND($AA32&lt;=(V$6+6),$AB32&gt;=V$6),"実","外"),IF(AND($AA32&lt;=(V$6+6),$AB32&gt;=V$6),"計","")))))</f>
        <v/>
      </c>
      <c r="W32" s="93" t="str">
        <f>IF($Y32="","",IF(AND($AG32&gt;=W$6,$AG32&lt;=(W$6+6)),"◆",IF(AND($AE32&lt;=(W$6+6),$AF32&gt;=W$6),"遅",IF(AND($AC32&lt;=(W$6+6),$AD32&gt;=W$6),IF(AND($AA32&lt;=(W$6+6),$AB32&gt;=W$6),"実","外"),IF(AND($AA32&lt;=(W$6+6),$AB32&gt;=W$6),"計","")))))</f>
        <v/>
      </c>
      <c r="Y32">
        <f>IF(25&gt;COUNTIF(tblSteps[週別対象],1),"",IFERROR(MATCH(25,tblSteps[週別順位],0),""))</f>
        <v>25</v>
      </c>
      <c r="Z32" t="str">
        <f>IF($Y32="","",INDEX(tblSteps[案件ID],$Y32)&amp;"")</f>
        <v>A0022</v>
      </c>
      <c r="AA32">
        <f>IF($Y32="","",INDEX(tblSteps[計開],$Y32))</f>
        <v>46300</v>
      </c>
      <c r="AB32">
        <f>IF($Y32="","",INDEX(tblSteps[計終],$Y32))</f>
        <v>46300</v>
      </c>
      <c r="AC32">
        <f>IF($Y32="","",INDEX(tblSteps[実開],$Y32))</f>
        <v>1</v>
      </c>
      <c r="AD32">
        <f>IF($Y32="","",INDEX(tblSteps[実終],$Y32))</f>
        <v>0</v>
      </c>
      <c r="AE32">
        <f>IF($Y32="","",INDEX(tblSteps[遅開],$Y32))</f>
        <v>46301</v>
      </c>
      <c r="AF32">
        <f>IF($Y32="","",INDEX(tblSteps[遅終],$Y32))</f>
        <v>0</v>
      </c>
      <c r="AG32">
        <f>IF($Y32="","",INDEX(tblSteps[納期値],$Y32))</f>
        <v>46346</v>
      </c>
    </row>
    <row r="33" ht="18" customHeight="1">
      <c r="A33" s="89" t="str">
        <f>IF($Y33="","",INDEX(tblSteps[工程ID],$Y33)&amp;"")</f>
        <v>S0030</v>
      </c>
      <c r="B33" s="88" t="str">
        <f>IF($Y33="","",IF($Z33=$Z32,"",$Z33&amp;" "&amp;INDEX(tblSteps[案件名],$Y33)))</f>
        <v/>
      </c>
      <c r="C33" s="88" t="str">
        <f>IF($Y33="","",INDEX(tblSteps[工程名],$Y33)&amp;"")</f>
        <v>追加工事の現地調査</v>
      </c>
      <c r="D33" s="89" t="str">
        <f>IF($Y33="","",INDEX(tblSteps[担当],$Y33)&amp;"")</f>
        <v>田中</v>
      </c>
      <c r="E33" s="89" t="str">
        <f>IF($Y33="","",INDEX(tblSteps[状態],$Y33)&amp;"")</f>
        <v>未着手</v>
      </c>
      <c r="F33" s="90">
        <f>IF($Y33="","",IF(ISNUMBER(INDEX(tblSteps[進捗率],$Y33)),INDEX(tblSteps[進捗率],$Y33),""))</f>
        <v>0</v>
      </c>
      <c r="G33" s="91">
        <f>IF($Y33="","",IF(ISNUMBER(INDEX(tblSteps[計画開始日],$Y33)),INDEX(tblSteps[計画開始日],$Y33),"未入力"))</f>
        <v>46303.0</v>
      </c>
      <c r="H33" s="91">
        <f>IF($Y33="","",IF(ISNUMBER(INDEX(tblSteps[計画終了日],$Y33)),INDEX(tblSteps[計画終了日],$Y33),"未入力"))</f>
        <v>46303.0</v>
      </c>
      <c r="I33" s="91" t="str">
        <f>IF($Y33="","",IF(ISNUMBER(INDEX(tblSteps[完了見込日],$Y33)),INDEX(tblSteps[完了見込日],$Y33),""))</f>
        <v/>
      </c>
      <c r="J33" s="92" t="str">
        <f>IF($Y33="","",INDEX(tblSteps[注意短],$Y33)&amp;"")</f>
        <v>重複の可能性</v>
      </c>
      <c r="K33" s="93" t="str">
        <f>IF($Y33="","",IF(AND($AG33&gt;=K$6,$AG33&lt;=(K$6+6)),"◆",IF(AND($AE33&lt;=(K$6+6),$AF33&gt;=K$6),"遅",IF(AND($AC33&lt;=(K$6+6),$AD33&gt;=K$6),IF(AND($AA33&lt;=(K$6+6),$AB33&gt;=K$6),"実","外"),IF(AND($AA33&lt;=(K$6+6),$AB33&gt;=K$6),"計","")))))</f>
        <v/>
      </c>
      <c r="L33" s="93" t="str">
        <f>IF($Y33="","",IF(AND($AG33&gt;=L$6,$AG33&lt;=(L$6+6)),"◆",IF(AND($AE33&lt;=(L$6+6),$AF33&gt;=L$6),"遅",IF(AND($AC33&lt;=(L$6+6),$AD33&gt;=L$6),IF(AND($AA33&lt;=(L$6+6),$AB33&gt;=L$6),"実","外"),IF(AND($AA33&lt;=(L$6+6),$AB33&gt;=L$6),"計","")))))</f>
        <v/>
      </c>
      <c r="M33" s="93" t="str">
        <f>IF($Y33="","",IF(AND($AG33&gt;=M$6,$AG33&lt;=(M$6+6)),"◆",IF(AND($AE33&lt;=(M$6+6),$AF33&gt;=M$6),"遅",IF(AND($AC33&lt;=(M$6+6),$AD33&gt;=M$6),IF(AND($AA33&lt;=(M$6+6),$AB33&gt;=M$6),"実","外"),IF(AND($AA33&lt;=(M$6+6),$AB33&gt;=M$6),"計","")))))</f>
        <v>計</v>
      </c>
      <c r="N33" s="93" t="str">
        <f>IF($Y33="","",IF(AND($AG33&gt;=N$6,$AG33&lt;=(N$6+6)),"◆",IF(AND($AE33&lt;=(N$6+6),$AF33&gt;=N$6),"遅",IF(AND($AC33&lt;=(N$6+6),$AD33&gt;=N$6),IF(AND($AA33&lt;=(N$6+6),$AB33&gt;=N$6),"実","外"),IF(AND($AA33&lt;=(N$6+6),$AB33&gt;=N$6),"計","")))))</f>
        <v/>
      </c>
      <c r="O33" s="93" t="str">
        <f>IF($Y33="","",IF(AND($AG33&gt;=O$6,$AG33&lt;=(O$6+6)),"◆",IF(AND($AE33&lt;=(O$6+6),$AF33&gt;=O$6),"遅",IF(AND($AC33&lt;=(O$6+6),$AD33&gt;=O$6),IF(AND($AA33&lt;=(O$6+6),$AB33&gt;=O$6),"実","外"),IF(AND($AA33&lt;=(O$6+6),$AB33&gt;=O$6),"計","")))))</f>
        <v/>
      </c>
      <c r="P33" s="93" t="str">
        <f>IF($Y33="","",IF(AND($AG33&gt;=P$6,$AG33&lt;=(P$6+6)),"◆",IF(AND($AE33&lt;=(P$6+6),$AF33&gt;=P$6),"遅",IF(AND($AC33&lt;=(P$6+6),$AD33&gt;=P$6),IF(AND($AA33&lt;=(P$6+6),$AB33&gt;=P$6),"実","外"),IF(AND($AA33&lt;=(P$6+6),$AB33&gt;=P$6),"計","")))))</f>
        <v/>
      </c>
      <c r="Q33" s="93" t="str">
        <f>IF($Y33="","",IF(AND($AG33&gt;=Q$6,$AG33&lt;=(Q$6+6)),"◆",IF(AND($AE33&lt;=(Q$6+6),$AF33&gt;=Q$6),"遅",IF(AND($AC33&lt;=(Q$6+6),$AD33&gt;=Q$6),IF(AND($AA33&lt;=(Q$6+6),$AB33&gt;=Q$6),"実","外"),IF(AND($AA33&lt;=(Q$6+6),$AB33&gt;=Q$6),"計","")))))</f>
        <v/>
      </c>
      <c r="R33" s="93" t="str">
        <f>IF($Y33="","",IF(AND($AG33&gt;=R$6,$AG33&lt;=(R$6+6)),"◆",IF(AND($AE33&lt;=(R$6+6),$AF33&gt;=R$6),"遅",IF(AND($AC33&lt;=(R$6+6),$AD33&gt;=R$6),IF(AND($AA33&lt;=(R$6+6),$AB33&gt;=R$6),"実","外"),IF(AND($AA33&lt;=(R$6+6),$AB33&gt;=R$6),"計","")))))</f>
        <v/>
      </c>
      <c r="S33" s="93" t="str">
        <f>IF($Y33="","",IF(AND($AG33&gt;=S$6,$AG33&lt;=(S$6+6)),"◆",IF(AND($AE33&lt;=(S$6+6),$AF33&gt;=S$6),"遅",IF(AND($AC33&lt;=(S$6+6),$AD33&gt;=S$6),IF(AND($AA33&lt;=(S$6+6),$AB33&gt;=S$6),"実","外"),IF(AND($AA33&lt;=(S$6+6),$AB33&gt;=S$6),"計","")))))</f>
        <v>◆</v>
      </c>
      <c r="T33" s="93" t="str">
        <f>IF($Y33="","",IF(AND($AG33&gt;=T$6,$AG33&lt;=(T$6+6)),"◆",IF(AND($AE33&lt;=(T$6+6),$AF33&gt;=T$6),"遅",IF(AND($AC33&lt;=(T$6+6),$AD33&gt;=T$6),IF(AND($AA33&lt;=(T$6+6),$AB33&gt;=T$6),"実","外"),IF(AND($AA33&lt;=(T$6+6),$AB33&gt;=T$6),"計","")))))</f>
        <v/>
      </c>
      <c r="U33" s="93" t="str">
        <f>IF($Y33="","",IF(AND($AG33&gt;=U$6,$AG33&lt;=(U$6+6)),"◆",IF(AND($AE33&lt;=(U$6+6),$AF33&gt;=U$6),"遅",IF(AND($AC33&lt;=(U$6+6),$AD33&gt;=U$6),IF(AND($AA33&lt;=(U$6+6),$AB33&gt;=U$6),"実","外"),IF(AND($AA33&lt;=(U$6+6),$AB33&gt;=U$6),"計","")))))</f>
        <v/>
      </c>
      <c r="V33" s="93" t="str">
        <f>IF($Y33="","",IF(AND($AG33&gt;=V$6,$AG33&lt;=(V$6+6)),"◆",IF(AND($AE33&lt;=(V$6+6),$AF33&gt;=V$6),"遅",IF(AND($AC33&lt;=(V$6+6),$AD33&gt;=V$6),IF(AND($AA33&lt;=(V$6+6),$AB33&gt;=V$6),"実","外"),IF(AND($AA33&lt;=(V$6+6),$AB33&gt;=V$6),"計","")))))</f>
        <v/>
      </c>
      <c r="W33" s="93" t="str">
        <f>IF($Y33="","",IF(AND($AG33&gt;=W$6,$AG33&lt;=(W$6+6)),"◆",IF(AND($AE33&lt;=(W$6+6),$AF33&gt;=W$6),"遅",IF(AND($AC33&lt;=(W$6+6),$AD33&gt;=W$6),IF(AND($AA33&lt;=(W$6+6),$AB33&gt;=W$6),"実","外"),IF(AND($AA33&lt;=(W$6+6),$AB33&gt;=W$6),"計","")))))</f>
        <v/>
      </c>
      <c r="Y33">
        <f>IF(26&gt;COUNTIF(tblSteps[週別対象],1),"",IFERROR(MATCH(26,tblSteps[週別順位],0),""))</f>
        <v>30</v>
      </c>
      <c r="Z33" t="str">
        <f>IF($Y33="","",INDEX(tblSteps[案件ID],$Y33)&amp;"")</f>
        <v>A0022</v>
      </c>
      <c r="AA33">
        <f>IF($Y33="","",INDEX(tblSteps[計開],$Y33))</f>
        <v>46303</v>
      </c>
      <c r="AB33">
        <f>IF($Y33="","",INDEX(tblSteps[計終],$Y33))</f>
        <v>46303</v>
      </c>
      <c r="AC33">
        <f>IF($Y33="","",INDEX(tblSteps[実開],$Y33))</f>
        <v>1</v>
      </c>
      <c r="AD33">
        <f>IF($Y33="","",INDEX(tblSteps[実終],$Y33))</f>
        <v>0</v>
      </c>
      <c r="AE33">
        <f>IF($Y33="","",INDEX(tblSteps[遅開],$Y33))</f>
        <v>46304</v>
      </c>
      <c r="AF33">
        <f>IF($Y33="","",INDEX(tblSteps[遅終],$Y33))</f>
        <v>0</v>
      </c>
      <c r="AG33">
        <f>IF($Y33="","",INDEX(tblSteps[納期値],$Y33))</f>
        <v>46346</v>
      </c>
    </row>
    <row r="34" ht="18" customHeight="1">
      <c r="A34" s="89" t="str">
        <f>IF($Y34="","",INDEX(tblSteps[工程ID],$Y34)&amp;"")</f>
        <v>S0019</v>
      </c>
      <c r="B34" s="88" t="str">
        <f>IF($Y34="","",IF($Z34=$Z33,"",$Z34&amp;" "&amp;INDEX(tblSteps[案件名],$Y34)))</f>
        <v/>
      </c>
      <c r="C34" s="88" t="str">
        <f>IF($Y34="","",INDEX(tblSteps[工程名],$Y34)&amp;"")</f>
        <v>据付工事</v>
      </c>
      <c r="D34" s="89" t="str">
        <f>IF($Y34="","",INDEX(tblSteps[担当],$Y34)&amp;"")</f>
        <v>協力会社B</v>
      </c>
      <c r="E34" s="89" t="str">
        <f>IF($Y34="","",INDEX(tblSteps[状態],$Y34)&amp;"")</f>
        <v>未着手</v>
      </c>
      <c r="F34" s="90">
        <f>IF($Y34="","",IF(ISNUMBER(INDEX(tblSteps[進捗率],$Y34)),INDEX(tblSteps[進捗率],$Y34),""))</f>
        <v>0</v>
      </c>
      <c r="G34" s="91">
        <f>IF($Y34="","",IF(ISNUMBER(INDEX(tblSteps[計画開始日],$Y34)),INDEX(tblSteps[計画開始日],$Y34),"未入力"))</f>
        <v>46335.0</v>
      </c>
      <c r="H34" s="91">
        <f>IF($Y34="","",IF(ISNUMBER(INDEX(tblSteps[計画終了日],$Y34)),INDEX(tblSteps[計画終了日],$Y34),"未入力"))</f>
        <v>46339.0</v>
      </c>
      <c r="I34" s="91" t="str">
        <f>IF($Y34="","",IF(ISNUMBER(INDEX(tblSteps[完了見込日],$Y34)),INDEX(tblSteps[完了見込日],$Y34),""))</f>
        <v/>
      </c>
      <c r="J34" s="92" t="str">
        <f>IF($Y34="","",INDEX(tblSteps[注意短],$Y34)&amp;"")</f>
        <v/>
      </c>
      <c r="K34" s="93" t="str">
        <f>IF($Y34="","",IF(AND($AG34&gt;=K$6,$AG34&lt;=(K$6+6)),"◆",IF(AND($AE34&lt;=(K$6+6),$AF34&gt;=K$6),"遅",IF(AND($AC34&lt;=(K$6+6),$AD34&gt;=K$6),IF(AND($AA34&lt;=(K$6+6),$AB34&gt;=K$6),"実","外"),IF(AND($AA34&lt;=(K$6+6),$AB34&gt;=K$6),"計","")))))</f>
        <v/>
      </c>
      <c r="L34" s="93" t="str">
        <f>IF($Y34="","",IF(AND($AG34&gt;=L$6,$AG34&lt;=(L$6+6)),"◆",IF(AND($AE34&lt;=(L$6+6),$AF34&gt;=L$6),"遅",IF(AND($AC34&lt;=(L$6+6),$AD34&gt;=L$6),IF(AND($AA34&lt;=(L$6+6),$AB34&gt;=L$6),"実","外"),IF(AND($AA34&lt;=(L$6+6),$AB34&gt;=L$6),"計","")))))</f>
        <v/>
      </c>
      <c r="M34" s="93" t="str">
        <f>IF($Y34="","",IF(AND($AG34&gt;=M$6,$AG34&lt;=(M$6+6)),"◆",IF(AND($AE34&lt;=(M$6+6),$AF34&gt;=M$6),"遅",IF(AND($AC34&lt;=(M$6+6),$AD34&gt;=M$6),IF(AND($AA34&lt;=(M$6+6),$AB34&gt;=M$6),"実","外"),IF(AND($AA34&lt;=(M$6+6),$AB34&gt;=M$6),"計","")))))</f>
        <v/>
      </c>
      <c r="N34" s="93" t="str">
        <f>IF($Y34="","",IF(AND($AG34&gt;=N$6,$AG34&lt;=(N$6+6)),"◆",IF(AND($AE34&lt;=(N$6+6),$AF34&gt;=N$6),"遅",IF(AND($AC34&lt;=(N$6+6),$AD34&gt;=N$6),IF(AND($AA34&lt;=(N$6+6),$AB34&gt;=N$6),"実","外"),IF(AND($AA34&lt;=(N$6+6),$AB34&gt;=N$6),"計","")))))</f>
        <v/>
      </c>
      <c r="O34" s="93" t="str">
        <f>IF($Y34="","",IF(AND($AG34&gt;=O$6,$AG34&lt;=(O$6+6)),"◆",IF(AND($AE34&lt;=(O$6+6),$AF34&gt;=O$6),"遅",IF(AND($AC34&lt;=(O$6+6),$AD34&gt;=O$6),IF(AND($AA34&lt;=(O$6+6),$AB34&gt;=O$6),"実","外"),IF(AND($AA34&lt;=(O$6+6),$AB34&gt;=O$6),"計","")))))</f>
        <v/>
      </c>
      <c r="P34" s="93" t="str">
        <f>IF($Y34="","",IF(AND($AG34&gt;=P$6,$AG34&lt;=(P$6+6)),"◆",IF(AND($AE34&lt;=(P$6+6),$AF34&gt;=P$6),"遅",IF(AND($AC34&lt;=(P$6+6),$AD34&gt;=P$6),IF(AND($AA34&lt;=(P$6+6),$AB34&gt;=P$6),"実","外"),IF(AND($AA34&lt;=(P$6+6),$AB34&gt;=P$6),"計","")))))</f>
        <v/>
      </c>
      <c r="Q34" s="93" t="str">
        <f>IF($Y34="","",IF(AND($AG34&gt;=Q$6,$AG34&lt;=(Q$6+6)),"◆",IF(AND($AE34&lt;=(Q$6+6),$AF34&gt;=Q$6),"遅",IF(AND($AC34&lt;=(Q$6+6),$AD34&gt;=Q$6),IF(AND($AA34&lt;=(Q$6+6),$AB34&gt;=Q$6),"実","外"),IF(AND($AA34&lt;=(Q$6+6),$AB34&gt;=Q$6),"計","")))))</f>
        <v/>
      </c>
      <c r="R34" s="93" t="str">
        <f>IF($Y34="","",IF(AND($AG34&gt;=R$6,$AG34&lt;=(R$6+6)),"◆",IF(AND($AE34&lt;=(R$6+6),$AF34&gt;=R$6),"遅",IF(AND($AC34&lt;=(R$6+6),$AD34&gt;=R$6),IF(AND($AA34&lt;=(R$6+6),$AB34&gt;=R$6),"実","外"),IF(AND($AA34&lt;=(R$6+6),$AB34&gt;=R$6),"計","")))))</f>
        <v>計</v>
      </c>
      <c r="S34" s="93" t="str">
        <f>IF($Y34="","",IF(AND($AG34&gt;=S$6,$AG34&lt;=(S$6+6)),"◆",IF(AND($AE34&lt;=(S$6+6),$AF34&gt;=S$6),"遅",IF(AND($AC34&lt;=(S$6+6),$AD34&gt;=S$6),IF(AND($AA34&lt;=(S$6+6),$AB34&gt;=S$6),"実","外"),IF(AND($AA34&lt;=(S$6+6),$AB34&gt;=S$6),"計","")))))</f>
        <v>◆</v>
      </c>
      <c r="T34" s="93" t="str">
        <f>IF($Y34="","",IF(AND($AG34&gt;=T$6,$AG34&lt;=(T$6+6)),"◆",IF(AND($AE34&lt;=(T$6+6),$AF34&gt;=T$6),"遅",IF(AND($AC34&lt;=(T$6+6),$AD34&gt;=T$6),IF(AND($AA34&lt;=(T$6+6),$AB34&gt;=T$6),"実","外"),IF(AND($AA34&lt;=(T$6+6),$AB34&gt;=T$6),"計","")))))</f>
        <v/>
      </c>
      <c r="U34" s="93" t="str">
        <f>IF($Y34="","",IF(AND($AG34&gt;=U$6,$AG34&lt;=(U$6+6)),"◆",IF(AND($AE34&lt;=(U$6+6),$AF34&gt;=U$6),"遅",IF(AND($AC34&lt;=(U$6+6),$AD34&gt;=U$6),IF(AND($AA34&lt;=(U$6+6),$AB34&gt;=U$6),"実","外"),IF(AND($AA34&lt;=(U$6+6),$AB34&gt;=U$6),"計","")))))</f>
        <v/>
      </c>
      <c r="V34" s="93" t="str">
        <f>IF($Y34="","",IF(AND($AG34&gt;=V$6,$AG34&lt;=(V$6+6)),"◆",IF(AND($AE34&lt;=(V$6+6),$AF34&gt;=V$6),"遅",IF(AND($AC34&lt;=(V$6+6),$AD34&gt;=V$6),IF(AND($AA34&lt;=(V$6+6),$AB34&gt;=V$6),"実","外"),IF(AND($AA34&lt;=(V$6+6),$AB34&gt;=V$6),"計","")))))</f>
        <v/>
      </c>
      <c r="W34" s="93" t="str">
        <f>IF($Y34="","",IF(AND($AG34&gt;=W$6,$AG34&lt;=(W$6+6)),"◆",IF(AND($AE34&lt;=(W$6+6),$AF34&gt;=W$6),"遅",IF(AND($AC34&lt;=(W$6+6),$AD34&gt;=W$6),IF(AND($AA34&lt;=(W$6+6),$AB34&gt;=W$6),"実","外"),IF(AND($AA34&lt;=(W$6+6),$AB34&gt;=W$6),"計","")))))</f>
        <v/>
      </c>
      <c r="Y34">
        <f>IF(27&gt;COUNTIF(tblSteps[週別対象],1),"",IFERROR(MATCH(27,tblSteps[週別順位],0),""))</f>
        <v>19</v>
      </c>
      <c r="Z34" t="str">
        <f>IF($Y34="","",INDEX(tblSteps[案件ID],$Y34)&amp;"")</f>
        <v>A0022</v>
      </c>
      <c r="AA34">
        <f>IF($Y34="","",INDEX(tblSteps[計開],$Y34))</f>
        <v>46335</v>
      </c>
      <c r="AB34">
        <f>IF($Y34="","",INDEX(tblSteps[計終],$Y34))</f>
        <v>46339</v>
      </c>
      <c r="AC34">
        <f>IF($Y34="","",INDEX(tblSteps[実開],$Y34))</f>
        <v>1</v>
      </c>
      <c r="AD34">
        <f>IF($Y34="","",INDEX(tblSteps[実終],$Y34))</f>
        <v>0</v>
      </c>
      <c r="AE34">
        <f>IF($Y34="","",INDEX(tblSteps[遅開],$Y34))</f>
        <v>46340</v>
      </c>
      <c r="AF34">
        <f>IF($Y34="","",INDEX(tblSteps[遅終],$Y34))</f>
        <v>0</v>
      </c>
      <c r="AG34">
        <f>IF($Y34="","",INDEX(tblSteps[納期値],$Y34))</f>
        <v>46346</v>
      </c>
    </row>
    <row r="35" ht="18" customHeight="1">
      <c r="A35" s="89" t="str">
        <f>IF($Y35="","",INDEX(tblSteps[工程ID],$Y35)&amp;"")</f>
        <v>S0020</v>
      </c>
      <c r="B35" s="88" t="str">
        <f>IF($Y35="","",IF($Z35=$Z34,"",$Z35&amp;" "&amp;INDEX(tblSteps[案件名],$Y35)))</f>
        <v/>
      </c>
      <c r="C35" s="88" t="str">
        <f>IF($Y35="","",INDEX(tblSteps[工程名],$Y35)&amp;"")</f>
        <v>試験・引渡し</v>
      </c>
      <c r="D35" s="89" t="str">
        <f>IF($Y35="","",INDEX(tblSteps[担当],$Y35)&amp;"")</f>
        <v>田中</v>
      </c>
      <c r="E35" s="89" t="str">
        <f>IF($Y35="","",INDEX(tblSteps[状態],$Y35)&amp;"")</f>
        <v>未着手</v>
      </c>
      <c r="F35" s="90">
        <f>IF($Y35="","",IF(ISNUMBER(INDEX(tblSteps[進捗率],$Y35)),INDEX(tblSteps[進捗率],$Y35),""))</f>
        <v>0</v>
      </c>
      <c r="G35" s="91">
        <f>IF($Y35="","",IF(ISNUMBER(INDEX(tblSteps[計画開始日],$Y35)),INDEX(tblSteps[計画開始日],$Y35),"未入力"))</f>
        <v>46342.0</v>
      </c>
      <c r="H35" s="91">
        <f>IF($Y35="","",IF(ISNUMBER(INDEX(tblSteps[計画終了日],$Y35)),INDEX(tblSteps[計画終了日],$Y35),"未入力"))</f>
        <v>46344.0</v>
      </c>
      <c r="I35" s="91" t="str">
        <f>IF($Y35="","",IF(ISNUMBER(INDEX(tblSteps[完了見込日],$Y35)),INDEX(tblSteps[完了見込日],$Y35),""))</f>
        <v/>
      </c>
      <c r="J35" s="92" t="str">
        <f>IF($Y35="","",INDEX(tblSteps[注意短],$Y35)&amp;"")</f>
        <v/>
      </c>
      <c r="K35" s="93" t="str">
        <f>IF($Y35="","",IF(AND($AG35&gt;=K$6,$AG35&lt;=(K$6+6)),"◆",IF(AND($AE35&lt;=(K$6+6),$AF35&gt;=K$6),"遅",IF(AND($AC35&lt;=(K$6+6),$AD35&gt;=K$6),IF(AND($AA35&lt;=(K$6+6),$AB35&gt;=K$6),"実","外"),IF(AND($AA35&lt;=(K$6+6),$AB35&gt;=K$6),"計","")))))</f>
        <v/>
      </c>
      <c r="L35" s="93" t="str">
        <f>IF($Y35="","",IF(AND($AG35&gt;=L$6,$AG35&lt;=(L$6+6)),"◆",IF(AND($AE35&lt;=(L$6+6),$AF35&gt;=L$6),"遅",IF(AND($AC35&lt;=(L$6+6),$AD35&gt;=L$6),IF(AND($AA35&lt;=(L$6+6),$AB35&gt;=L$6),"実","外"),IF(AND($AA35&lt;=(L$6+6),$AB35&gt;=L$6),"計","")))))</f>
        <v/>
      </c>
      <c r="M35" s="93" t="str">
        <f>IF($Y35="","",IF(AND($AG35&gt;=M$6,$AG35&lt;=(M$6+6)),"◆",IF(AND($AE35&lt;=(M$6+6),$AF35&gt;=M$6),"遅",IF(AND($AC35&lt;=(M$6+6),$AD35&gt;=M$6),IF(AND($AA35&lt;=(M$6+6),$AB35&gt;=M$6),"実","外"),IF(AND($AA35&lt;=(M$6+6),$AB35&gt;=M$6),"計","")))))</f>
        <v/>
      </c>
      <c r="N35" s="93" t="str">
        <f>IF($Y35="","",IF(AND($AG35&gt;=N$6,$AG35&lt;=(N$6+6)),"◆",IF(AND($AE35&lt;=(N$6+6),$AF35&gt;=N$6),"遅",IF(AND($AC35&lt;=(N$6+6),$AD35&gt;=N$6),IF(AND($AA35&lt;=(N$6+6),$AB35&gt;=N$6),"実","外"),IF(AND($AA35&lt;=(N$6+6),$AB35&gt;=N$6),"計","")))))</f>
        <v/>
      </c>
      <c r="O35" s="93" t="str">
        <f>IF($Y35="","",IF(AND($AG35&gt;=O$6,$AG35&lt;=(O$6+6)),"◆",IF(AND($AE35&lt;=(O$6+6),$AF35&gt;=O$6),"遅",IF(AND($AC35&lt;=(O$6+6),$AD35&gt;=O$6),IF(AND($AA35&lt;=(O$6+6),$AB35&gt;=O$6),"実","外"),IF(AND($AA35&lt;=(O$6+6),$AB35&gt;=O$6),"計","")))))</f>
        <v/>
      </c>
      <c r="P35" s="93" t="str">
        <f>IF($Y35="","",IF(AND($AG35&gt;=P$6,$AG35&lt;=(P$6+6)),"◆",IF(AND($AE35&lt;=(P$6+6),$AF35&gt;=P$6),"遅",IF(AND($AC35&lt;=(P$6+6),$AD35&gt;=P$6),IF(AND($AA35&lt;=(P$6+6),$AB35&gt;=P$6),"実","外"),IF(AND($AA35&lt;=(P$6+6),$AB35&gt;=P$6),"計","")))))</f>
        <v/>
      </c>
      <c r="Q35" s="93" t="str">
        <f>IF($Y35="","",IF(AND($AG35&gt;=Q$6,$AG35&lt;=(Q$6+6)),"◆",IF(AND($AE35&lt;=(Q$6+6),$AF35&gt;=Q$6),"遅",IF(AND($AC35&lt;=(Q$6+6),$AD35&gt;=Q$6),IF(AND($AA35&lt;=(Q$6+6),$AB35&gt;=Q$6),"実","外"),IF(AND($AA35&lt;=(Q$6+6),$AB35&gt;=Q$6),"計","")))))</f>
        <v/>
      </c>
      <c r="R35" s="93" t="str">
        <f>IF($Y35="","",IF(AND($AG35&gt;=R$6,$AG35&lt;=(R$6+6)),"◆",IF(AND($AE35&lt;=(R$6+6),$AF35&gt;=R$6),"遅",IF(AND($AC35&lt;=(R$6+6),$AD35&gt;=R$6),IF(AND($AA35&lt;=(R$6+6),$AB35&gt;=R$6),"実","外"),IF(AND($AA35&lt;=(R$6+6),$AB35&gt;=R$6),"計","")))))</f>
        <v/>
      </c>
      <c r="S35" s="93" t="str">
        <f>IF($Y35="","",IF(AND($AG35&gt;=S$6,$AG35&lt;=(S$6+6)),"◆",IF(AND($AE35&lt;=(S$6+6),$AF35&gt;=S$6),"遅",IF(AND($AC35&lt;=(S$6+6),$AD35&gt;=S$6),IF(AND($AA35&lt;=(S$6+6),$AB35&gt;=S$6),"実","外"),IF(AND($AA35&lt;=(S$6+6),$AB35&gt;=S$6),"計","")))))</f>
        <v>◆</v>
      </c>
      <c r="T35" s="93" t="str">
        <f>IF($Y35="","",IF(AND($AG35&gt;=T$6,$AG35&lt;=(T$6+6)),"◆",IF(AND($AE35&lt;=(T$6+6),$AF35&gt;=T$6),"遅",IF(AND($AC35&lt;=(T$6+6),$AD35&gt;=T$6),IF(AND($AA35&lt;=(T$6+6),$AB35&gt;=T$6),"実","外"),IF(AND($AA35&lt;=(T$6+6),$AB35&gt;=T$6),"計","")))))</f>
        <v/>
      </c>
      <c r="U35" s="93" t="str">
        <f>IF($Y35="","",IF(AND($AG35&gt;=U$6,$AG35&lt;=(U$6+6)),"◆",IF(AND($AE35&lt;=(U$6+6),$AF35&gt;=U$6),"遅",IF(AND($AC35&lt;=(U$6+6),$AD35&gt;=U$6),IF(AND($AA35&lt;=(U$6+6),$AB35&gt;=U$6),"実","外"),IF(AND($AA35&lt;=(U$6+6),$AB35&gt;=U$6),"計","")))))</f>
        <v/>
      </c>
      <c r="V35" s="93" t="str">
        <f>IF($Y35="","",IF(AND($AG35&gt;=V$6,$AG35&lt;=(V$6+6)),"◆",IF(AND($AE35&lt;=(V$6+6),$AF35&gt;=V$6),"遅",IF(AND($AC35&lt;=(V$6+6),$AD35&gt;=V$6),IF(AND($AA35&lt;=(V$6+6),$AB35&gt;=V$6),"実","外"),IF(AND($AA35&lt;=(V$6+6),$AB35&gt;=V$6),"計","")))))</f>
        <v/>
      </c>
      <c r="W35" s="93" t="str">
        <f>IF($Y35="","",IF(AND($AG35&gt;=W$6,$AG35&lt;=(W$6+6)),"◆",IF(AND($AE35&lt;=(W$6+6),$AF35&gt;=W$6),"遅",IF(AND($AC35&lt;=(W$6+6),$AD35&gt;=W$6),IF(AND($AA35&lt;=(W$6+6),$AB35&gt;=W$6),"実","外"),IF(AND($AA35&lt;=(W$6+6),$AB35&gt;=W$6),"計","")))))</f>
        <v/>
      </c>
      <c r="Y35">
        <f>IF(28&gt;COUNTIF(tblSteps[週別対象],1),"",IFERROR(MATCH(28,tblSteps[週別順位],0),""))</f>
        <v>20</v>
      </c>
      <c r="Z35" t="str">
        <f>IF($Y35="","",INDEX(tblSteps[案件ID],$Y35)&amp;"")</f>
        <v>A0022</v>
      </c>
      <c r="AA35">
        <f>IF($Y35="","",INDEX(tblSteps[計開],$Y35))</f>
        <v>46342</v>
      </c>
      <c r="AB35">
        <f>IF($Y35="","",INDEX(tblSteps[計終],$Y35))</f>
        <v>46344</v>
      </c>
      <c r="AC35">
        <f>IF($Y35="","",INDEX(tblSteps[実開],$Y35))</f>
        <v>1</v>
      </c>
      <c r="AD35">
        <f>IF($Y35="","",INDEX(tblSteps[実終],$Y35))</f>
        <v>0</v>
      </c>
      <c r="AE35">
        <f>IF($Y35="","",INDEX(tblSteps[遅開],$Y35))</f>
        <v>46345</v>
      </c>
      <c r="AF35">
        <f>IF($Y35="","",INDEX(tblSteps[遅終],$Y35))</f>
        <v>0</v>
      </c>
      <c r="AG35">
        <f>IF($Y35="","",INDEX(tblSteps[納期値],$Y35))</f>
        <v>46346</v>
      </c>
    </row>
    <row r="36" ht="18" customHeight="1">
      <c r="A36" s="89" t="str">
        <f>IF($Y36="","",INDEX(tblSteps[工程ID],$Y36)&amp;"")</f>
        <v/>
      </c>
      <c r="B36" s="88" t="str">
        <f>IF($Y36="","",IF($Z36=$Z35,"",$Z36&amp;" "&amp;INDEX(tblSteps[案件名],$Y36)))</f>
        <v/>
      </c>
      <c r="C36" s="88" t="str">
        <f>IF($Y36="","",INDEX(tblSteps[工程名],$Y36)&amp;"")</f>
        <v/>
      </c>
      <c r="D36" s="89" t="str">
        <f>IF($Y36="","",INDEX(tblSteps[担当],$Y36)&amp;"")</f>
        <v/>
      </c>
      <c r="E36" s="89" t="str">
        <f>IF($Y36="","",INDEX(tblSteps[状態],$Y36)&amp;"")</f>
        <v/>
      </c>
      <c r="F36" s="90" t="str">
        <f>IF($Y36="","",IF(ISNUMBER(INDEX(tblSteps[進捗率],$Y36)),INDEX(tblSteps[進捗率],$Y36),""))</f>
        <v/>
      </c>
      <c r="G36" s="91" t="str">
        <f>IF($Y36="","",IF(ISNUMBER(INDEX(tblSteps[計画開始日],$Y36)),INDEX(tblSteps[計画開始日],$Y36),"未入力"))</f>
        <v/>
      </c>
      <c r="H36" s="91" t="str">
        <f>IF($Y36="","",IF(ISNUMBER(INDEX(tblSteps[計画終了日],$Y36)),INDEX(tblSteps[計画終了日],$Y36),"未入力"))</f>
        <v/>
      </c>
      <c r="I36" s="91" t="str">
        <f>IF($Y36="","",IF(ISNUMBER(INDEX(tblSteps[完了見込日],$Y36)),INDEX(tblSteps[完了見込日],$Y36),""))</f>
        <v/>
      </c>
      <c r="J36" s="92" t="str">
        <f>IF($Y36="","",INDEX(tblSteps[注意短],$Y36)&amp;"")</f>
        <v/>
      </c>
      <c r="K36" s="93" t="str">
        <f>IF($Y36="","",IF(AND($AG36&gt;=K$6,$AG36&lt;=(K$6+6)),"◆",IF(AND($AE36&lt;=(K$6+6),$AF36&gt;=K$6),"遅",IF(AND($AC36&lt;=(K$6+6),$AD36&gt;=K$6),IF(AND($AA36&lt;=(K$6+6),$AB36&gt;=K$6),"実","外"),IF(AND($AA36&lt;=(K$6+6),$AB36&gt;=K$6),"計","")))))</f>
        <v/>
      </c>
      <c r="L36" s="93" t="str">
        <f>IF($Y36="","",IF(AND($AG36&gt;=L$6,$AG36&lt;=(L$6+6)),"◆",IF(AND($AE36&lt;=(L$6+6),$AF36&gt;=L$6),"遅",IF(AND($AC36&lt;=(L$6+6),$AD36&gt;=L$6),IF(AND($AA36&lt;=(L$6+6),$AB36&gt;=L$6),"実","外"),IF(AND($AA36&lt;=(L$6+6),$AB36&gt;=L$6),"計","")))))</f>
        <v/>
      </c>
      <c r="M36" s="93" t="str">
        <f>IF($Y36="","",IF(AND($AG36&gt;=M$6,$AG36&lt;=(M$6+6)),"◆",IF(AND($AE36&lt;=(M$6+6),$AF36&gt;=M$6),"遅",IF(AND($AC36&lt;=(M$6+6),$AD36&gt;=M$6),IF(AND($AA36&lt;=(M$6+6),$AB36&gt;=M$6),"実","外"),IF(AND($AA36&lt;=(M$6+6),$AB36&gt;=M$6),"計","")))))</f>
        <v/>
      </c>
      <c r="N36" s="93" t="str">
        <f>IF($Y36="","",IF(AND($AG36&gt;=N$6,$AG36&lt;=(N$6+6)),"◆",IF(AND($AE36&lt;=(N$6+6),$AF36&gt;=N$6),"遅",IF(AND($AC36&lt;=(N$6+6),$AD36&gt;=N$6),IF(AND($AA36&lt;=(N$6+6),$AB36&gt;=N$6),"実","外"),IF(AND($AA36&lt;=(N$6+6),$AB36&gt;=N$6),"計","")))))</f>
        <v/>
      </c>
      <c r="O36" s="93" t="str">
        <f>IF($Y36="","",IF(AND($AG36&gt;=O$6,$AG36&lt;=(O$6+6)),"◆",IF(AND($AE36&lt;=(O$6+6),$AF36&gt;=O$6),"遅",IF(AND($AC36&lt;=(O$6+6),$AD36&gt;=O$6),IF(AND($AA36&lt;=(O$6+6),$AB36&gt;=O$6),"実","外"),IF(AND($AA36&lt;=(O$6+6),$AB36&gt;=O$6),"計","")))))</f>
        <v/>
      </c>
      <c r="P36" s="93" t="str">
        <f>IF($Y36="","",IF(AND($AG36&gt;=P$6,$AG36&lt;=(P$6+6)),"◆",IF(AND($AE36&lt;=(P$6+6),$AF36&gt;=P$6),"遅",IF(AND($AC36&lt;=(P$6+6),$AD36&gt;=P$6),IF(AND($AA36&lt;=(P$6+6),$AB36&gt;=P$6),"実","外"),IF(AND($AA36&lt;=(P$6+6),$AB36&gt;=P$6),"計","")))))</f>
        <v/>
      </c>
      <c r="Q36" s="93" t="str">
        <f>IF($Y36="","",IF(AND($AG36&gt;=Q$6,$AG36&lt;=(Q$6+6)),"◆",IF(AND($AE36&lt;=(Q$6+6),$AF36&gt;=Q$6),"遅",IF(AND($AC36&lt;=(Q$6+6),$AD36&gt;=Q$6),IF(AND($AA36&lt;=(Q$6+6),$AB36&gt;=Q$6),"実","外"),IF(AND($AA36&lt;=(Q$6+6),$AB36&gt;=Q$6),"計","")))))</f>
        <v/>
      </c>
      <c r="R36" s="93" t="str">
        <f>IF($Y36="","",IF(AND($AG36&gt;=R$6,$AG36&lt;=(R$6+6)),"◆",IF(AND($AE36&lt;=(R$6+6),$AF36&gt;=R$6),"遅",IF(AND($AC36&lt;=(R$6+6),$AD36&gt;=R$6),IF(AND($AA36&lt;=(R$6+6),$AB36&gt;=R$6),"実","外"),IF(AND($AA36&lt;=(R$6+6),$AB36&gt;=R$6),"計","")))))</f>
        <v/>
      </c>
      <c r="S36" s="93" t="str">
        <f>IF($Y36="","",IF(AND($AG36&gt;=S$6,$AG36&lt;=(S$6+6)),"◆",IF(AND($AE36&lt;=(S$6+6),$AF36&gt;=S$6),"遅",IF(AND($AC36&lt;=(S$6+6),$AD36&gt;=S$6),IF(AND($AA36&lt;=(S$6+6),$AB36&gt;=S$6),"実","外"),IF(AND($AA36&lt;=(S$6+6),$AB36&gt;=S$6),"計","")))))</f>
        <v/>
      </c>
      <c r="T36" s="93" t="str">
        <f>IF($Y36="","",IF(AND($AG36&gt;=T$6,$AG36&lt;=(T$6+6)),"◆",IF(AND($AE36&lt;=(T$6+6),$AF36&gt;=T$6),"遅",IF(AND($AC36&lt;=(T$6+6),$AD36&gt;=T$6),IF(AND($AA36&lt;=(T$6+6),$AB36&gt;=T$6),"実","外"),IF(AND($AA36&lt;=(T$6+6),$AB36&gt;=T$6),"計","")))))</f>
        <v/>
      </c>
      <c r="U36" s="93" t="str">
        <f>IF($Y36="","",IF(AND($AG36&gt;=U$6,$AG36&lt;=(U$6+6)),"◆",IF(AND($AE36&lt;=(U$6+6),$AF36&gt;=U$6),"遅",IF(AND($AC36&lt;=(U$6+6),$AD36&gt;=U$6),IF(AND($AA36&lt;=(U$6+6),$AB36&gt;=U$6),"実","外"),IF(AND($AA36&lt;=(U$6+6),$AB36&gt;=U$6),"計","")))))</f>
        <v/>
      </c>
      <c r="V36" s="93" t="str">
        <f>IF($Y36="","",IF(AND($AG36&gt;=V$6,$AG36&lt;=(V$6+6)),"◆",IF(AND($AE36&lt;=(V$6+6),$AF36&gt;=V$6),"遅",IF(AND($AC36&lt;=(V$6+6),$AD36&gt;=V$6),IF(AND($AA36&lt;=(V$6+6),$AB36&gt;=V$6),"実","外"),IF(AND($AA36&lt;=(V$6+6),$AB36&gt;=V$6),"計","")))))</f>
        <v/>
      </c>
      <c r="W36" s="93" t="str">
        <f>IF($Y36="","",IF(AND($AG36&gt;=W$6,$AG36&lt;=(W$6+6)),"◆",IF(AND($AE36&lt;=(W$6+6),$AF36&gt;=W$6),"遅",IF(AND($AC36&lt;=(W$6+6),$AD36&gt;=W$6),IF(AND($AA36&lt;=(W$6+6),$AB36&gt;=W$6),"実","外"),IF(AND($AA36&lt;=(W$6+6),$AB36&gt;=W$6),"計","")))))</f>
        <v/>
      </c>
      <c r="Y36" t="str">
        <f>IF(29&gt;COUNTIF(tblSteps[週別対象],1),"",IFERROR(MATCH(29,tblSteps[週別順位],0),""))</f>
        <v/>
      </c>
      <c r="Z36" t="str">
        <f>IF($Y36="","",INDEX(tblSteps[案件ID],$Y36)&amp;"")</f>
        <v/>
      </c>
      <c r="AA36" t="str">
        <f>IF($Y36="","",INDEX(tblSteps[計開],$Y36))</f>
        <v/>
      </c>
      <c r="AB36" t="str">
        <f>IF($Y36="","",INDEX(tblSteps[計終],$Y36))</f>
        <v/>
      </c>
      <c r="AC36" t="str">
        <f>IF($Y36="","",INDEX(tblSteps[実開],$Y36))</f>
        <v/>
      </c>
      <c r="AD36" t="str">
        <f>IF($Y36="","",INDEX(tblSteps[実終],$Y36))</f>
        <v/>
      </c>
      <c r="AE36" t="str">
        <f>IF($Y36="","",INDEX(tblSteps[遅開],$Y36))</f>
        <v/>
      </c>
      <c r="AF36" t="str">
        <f>IF($Y36="","",INDEX(tblSteps[遅終],$Y36))</f>
        <v/>
      </c>
      <c r="AG36" t="str">
        <f>IF($Y36="","",INDEX(tblSteps[納期値],$Y36))</f>
        <v/>
      </c>
    </row>
    <row r="37" ht="18" customHeight="1">
      <c r="A37" s="89" t="str">
        <f>IF($Y37="","",INDEX(tblSteps[工程ID],$Y37)&amp;"")</f>
        <v/>
      </c>
      <c r="B37" s="88" t="str">
        <f>IF($Y37="","",IF($Z37=$Z36,"",$Z37&amp;" "&amp;INDEX(tblSteps[案件名],$Y37)))</f>
        <v/>
      </c>
      <c r="C37" s="88" t="str">
        <f>IF($Y37="","",INDEX(tblSteps[工程名],$Y37)&amp;"")</f>
        <v/>
      </c>
      <c r="D37" s="89" t="str">
        <f>IF($Y37="","",INDEX(tblSteps[担当],$Y37)&amp;"")</f>
        <v/>
      </c>
      <c r="E37" s="89" t="str">
        <f>IF($Y37="","",INDEX(tblSteps[状態],$Y37)&amp;"")</f>
        <v/>
      </c>
      <c r="F37" s="90" t="str">
        <f>IF($Y37="","",IF(ISNUMBER(INDEX(tblSteps[進捗率],$Y37)),INDEX(tblSteps[進捗率],$Y37),""))</f>
        <v/>
      </c>
      <c r="G37" s="91" t="str">
        <f>IF($Y37="","",IF(ISNUMBER(INDEX(tblSteps[計画開始日],$Y37)),INDEX(tblSteps[計画開始日],$Y37),"未入力"))</f>
        <v/>
      </c>
      <c r="H37" s="91" t="str">
        <f>IF($Y37="","",IF(ISNUMBER(INDEX(tblSteps[計画終了日],$Y37)),INDEX(tblSteps[計画終了日],$Y37),"未入力"))</f>
        <v/>
      </c>
      <c r="I37" s="91" t="str">
        <f>IF($Y37="","",IF(ISNUMBER(INDEX(tblSteps[完了見込日],$Y37)),INDEX(tblSteps[完了見込日],$Y37),""))</f>
        <v/>
      </c>
      <c r="J37" s="92" t="str">
        <f>IF($Y37="","",INDEX(tblSteps[注意短],$Y37)&amp;"")</f>
        <v/>
      </c>
      <c r="K37" s="93" t="str">
        <f>IF($Y37="","",IF(AND($AG37&gt;=K$6,$AG37&lt;=(K$6+6)),"◆",IF(AND($AE37&lt;=(K$6+6),$AF37&gt;=K$6),"遅",IF(AND($AC37&lt;=(K$6+6),$AD37&gt;=K$6),IF(AND($AA37&lt;=(K$6+6),$AB37&gt;=K$6),"実","外"),IF(AND($AA37&lt;=(K$6+6),$AB37&gt;=K$6),"計","")))))</f>
        <v/>
      </c>
      <c r="L37" s="93" t="str">
        <f>IF($Y37="","",IF(AND($AG37&gt;=L$6,$AG37&lt;=(L$6+6)),"◆",IF(AND($AE37&lt;=(L$6+6),$AF37&gt;=L$6),"遅",IF(AND($AC37&lt;=(L$6+6),$AD37&gt;=L$6),IF(AND($AA37&lt;=(L$6+6),$AB37&gt;=L$6),"実","外"),IF(AND($AA37&lt;=(L$6+6),$AB37&gt;=L$6),"計","")))))</f>
        <v/>
      </c>
      <c r="M37" s="93" t="str">
        <f>IF($Y37="","",IF(AND($AG37&gt;=M$6,$AG37&lt;=(M$6+6)),"◆",IF(AND($AE37&lt;=(M$6+6),$AF37&gt;=M$6),"遅",IF(AND($AC37&lt;=(M$6+6),$AD37&gt;=M$6),IF(AND($AA37&lt;=(M$6+6),$AB37&gt;=M$6),"実","外"),IF(AND($AA37&lt;=(M$6+6),$AB37&gt;=M$6),"計","")))))</f>
        <v/>
      </c>
      <c r="N37" s="93" t="str">
        <f>IF($Y37="","",IF(AND($AG37&gt;=N$6,$AG37&lt;=(N$6+6)),"◆",IF(AND($AE37&lt;=(N$6+6),$AF37&gt;=N$6),"遅",IF(AND($AC37&lt;=(N$6+6),$AD37&gt;=N$6),IF(AND($AA37&lt;=(N$6+6),$AB37&gt;=N$6),"実","外"),IF(AND($AA37&lt;=(N$6+6),$AB37&gt;=N$6),"計","")))))</f>
        <v/>
      </c>
      <c r="O37" s="93" t="str">
        <f>IF($Y37="","",IF(AND($AG37&gt;=O$6,$AG37&lt;=(O$6+6)),"◆",IF(AND($AE37&lt;=(O$6+6),$AF37&gt;=O$6),"遅",IF(AND($AC37&lt;=(O$6+6),$AD37&gt;=O$6),IF(AND($AA37&lt;=(O$6+6),$AB37&gt;=O$6),"実","外"),IF(AND($AA37&lt;=(O$6+6),$AB37&gt;=O$6),"計","")))))</f>
        <v/>
      </c>
      <c r="P37" s="93" t="str">
        <f>IF($Y37="","",IF(AND($AG37&gt;=P$6,$AG37&lt;=(P$6+6)),"◆",IF(AND($AE37&lt;=(P$6+6),$AF37&gt;=P$6),"遅",IF(AND($AC37&lt;=(P$6+6),$AD37&gt;=P$6),IF(AND($AA37&lt;=(P$6+6),$AB37&gt;=P$6),"実","外"),IF(AND($AA37&lt;=(P$6+6),$AB37&gt;=P$6),"計","")))))</f>
        <v/>
      </c>
      <c r="Q37" s="93" t="str">
        <f>IF($Y37="","",IF(AND($AG37&gt;=Q$6,$AG37&lt;=(Q$6+6)),"◆",IF(AND($AE37&lt;=(Q$6+6),$AF37&gt;=Q$6),"遅",IF(AND($AC37&lt;=(Q$6+6),$AD37&gt;=Q$6),IF(AND($AA37&lt;=(Q$6+6),$AB37&gt;=Q$6),"実","外"),IF(AND($AA37&lt;=(Q$6+6),$AB37&gt;=Q$6),"計","")))))</f>
        <v/>
      </c>
      <c r="R37" s="93" t="str">
        <f>IF($Y37="","",IF(AND($AG37&gt;=R$6,$AG37&lt;=(R$6+6)),"◆",IF(AND($AE37&lt;=(R$6+6),$AF37&gt;=R$6),"遅",IF(AND($AC37&lt;=(R$6+6),$AD37&gt;=R$6),IF(AND($AA37&lt;=(R$6+6),$AB37&gt;=R$6),"実","外"),IF(AND($AA37&lt;=(R$6+6),$AB37&gt;=R$6),"計","")))))</f>
        <v/>
      </c>
      <c r="S37" s="93" t="str">
        <f>IF($Y37="","",IF(AND($AG37&gt;=S$6,$AG37&lt;=(S$6+6)),"◆",IF(AND($AE37&lt;=(S$6+6),$AF37&gt;=S$6),"遅",IF(AND($AC37&lt;=(S$6+6),$AD37&gt;=S$6),IF(AND($AA37&lt;=(S$6+6),$AB37&gt;=S$6),"実","外"),IF(AND($AA37&lt;=(S$6+6),$AB37&gt;=S$6),"計","")))))</f>
        <v/>
      </c>
      <c r="T37" s="93" t="str">
        <f>IF($Y37="","",IF(AND($AG37&gt;=T$6,$AG37&lt;=(T$6+6)),"◆",IF(AND($AE37&lt;=(T$6+6),$AF37&gt;=T$6),"遅",IF(AND($AC37&lt;=(T$6+6),$AD37&gt;=T$6),IF(AND($AA37&lt;=(T$6+6),$AB37&gt;=T$6),"実","外"),IF(AND($AA37&lt;=(T$6+6),$AB37&gt;=T$6),"計","")))))</f>
        <v/>
      </c>
      <c r="U37" s="93" t="str">
        <f>IF($Y37="","",IF(AND($AG37&gt;=U$6,$AG37&lt;=(U$6+6)),"◆",IF(AND($AE37&lt;=(U$6+6),$AF37&gt;=U$6),"遅",IF(AND($AC37&lt;=(U$6+6),$AD37&gt;=U$6),IF(AND($AA37&lt;=(U$6+6),$AB37&gt;=U$6),"実","外"),IF(AND($AA37&lt;=(U$6+6),$AB37&gt;=U$6),"計","")))))</f>
        <v/>
      </c>
      <c r="V37" s="93" t="str">
        <f>IF($Y37="","",IF(AND($AG37&gt;=V$6,$AG37&lt;=(V$6+6)),"◆",IF(AND($AE37&lt;=(V$6+6),$AF37&gt;=V$6),"遅",IF(AND($AC37&lt;=(V$6+6),$AD37&gt;=V$6),IF(AND($AA37&lt;=(V$6+6),$AB37&gt;=V$6),"実","外"),IF(AND($AA37&lt;=(V$6+6),$AB37&gt;=V$6),"計","")))))</f>
        <v/>
      </c>
      <c r="W37" s="93" t="str">
        <f>IF($Y37="","",IF(AND($AG37&gt;=W$6,$AG37&lt;=(W$6+6)),"◆",IF(AND($AE37&lt;=(W$6+6),$AF37&gt;=W$6),"遅",IF(AND($AC37&lt;=(W$6+6),$AD37&gt;=W$6),IF(AND($AA37&lt;=(W$6+6),$AB37&gt;=W$6),"実","外"),IF(AND($AA37&lt;=(W$6+6),$AB37&gt;=W$6),"計","")))))</f>
        <v/>
      </c>
      <c r="Y37" t="str">
        <f>IF(30&gt;COUNTIF(tblSteps[週別対象],1),"",IFERROR(MATCH(30,tblSteps[週別順位],0),""))</f>
        <v/>
      </c>
      <c r="Z37" t="str">
        <f>IF($Y37="","",INDEX(tblSteps[案件ID],$Y37)&amp;"")</f>
        <v/>
      </c>
      <c r="AA37" t="str">
        <f>IF($Y37="","",INDEX(tblSteps[計開],$Y37))</f>
        <v/>
      </c>
      <c r="AB37" t="str">
        <f>IF($Y37="","",INDEX(tblSteps[計終],$Y37))</f>
        <v/>
      </c>
      <c r="AC37" t="str">
        <f>IF($Y37="","",INDEX(tblSteps[実開],$Y37))</f>
        <v/>
      </c>
      <c r="AD37" t="str">
        <f>IF($Y37="","",INDEX(tblSteps[実終],$Y37))</f>
        <v/>
      </c>
      <c r="AE37" t="str">
        <f>IF($Y37="","",INDEX(tblSteps[遅開],$Y37))</f>
        <v/>
      </c>
      <c r="AF37" t="str">
        <f>IF($Y37="","",INDEX(tblSteps[遅終],$Y37))</f>
        <v/>
      </c>
      <c r="AG37" t="str">
        <f>IF($Y37="","",INDEX(tblSteps[納期値],$Y37))</f>
        <v/>
      </c>
    </row>
    <row r="38" ht="18" customHeight="1">
      <c r="A38" s="89" t="str">
        <f>IF($Y38="","",INDEX(tblSteps[工程ID],$Y38)&amp;"")</f>
        <v/>
      </c>
      <c r="B38" s="88" t="str">
        <f>IF($Y38="","",IF($Z38=$Z37,"",$Z38&amp;" "&amp;INDEX(tblSteps[案件名],$Y38)))</f>
        <v/>
      </c>
      <c r="C38" s="88" t="str">
        <f>IF($Y38="","",INDEX(tblSteps[工程名],$Y38)&amp;"")</f>
        <v/>
      </c>
      <c r="D38" s="89" t="str">
        <f>IF($Y38="","",INDEX(tblSteps[担当],$Y38)&amp;"")</f>
        <v/>
      </c>
      <c r="E38" s="89" t="str">
        <f>IF($Y38="","",INDEX(tblSteps[状態],$Y38)&amp;"")</f>
        <v/>
      </c>
      <c r="F38" s="90" t="str">
        <f>IF($Y38="","",IF(ISNUMBER(INDEX(tblSteps[進捗率],$Y38)),INDEX(tblSteps[進捗率],$Y38),""))</f>
        <v/>
      </c>
      <c r="G38" s="91" t="str">
        <f>IF($Y38="","",IF(ISNUMBER(INDEX(tblSteps[計画開始日],$Y38)),INDEX(tblSteps[計画開始日],$Y38),"未入力"))</f>
        <v/>
      </c>
      <c r="H38" s="91" t="str">
        <f>IF($Y38="","",IF(ISNUMBER(INDEX(tblSteps[計画終了日],$Y38)),INDEX(tblSteps[計画終了日],$Y38),"未入力"))</f>
        <v/>
      </c>
      <c r="I38" s="91" t="str">
        <f>IF($Y38="","",IF(ISNUMBER(INDEX(tblSteps[完了見込日],$Y38)),INDEX(tblSteps[完了見込日],$Y38),""))</f>
        <v/>
      </c>
      <c r="J38" s="92" t="str">
        <f>IF($Y38="","",INDEX(tblSteps[注意短],$Y38)&amp;"")</f>
        <v/>
      </c>
      <c r="K38" s="93" t="str">
        <f>IF($Y38="","",IF(AND($AG38&gt;=K$6,$AG38&lt;=(K$6+6)),"◆",IF(AND($AE38&lt;=(K$6+6),$AF38&gt;=K$6),"遅",IF(AND($AC38&lt;=(K$6+6),$AD38&gt;=K$6),IF(AND($AA38&lt;=(K$6+6),$AB38&gt;=K$6),"実","外"),IF(AND($AA38&lt;=(K$6+6),$AB38&gt;=K$6),"計","")))))</f>
        <v/>
      </c>
      <c r="L38" s="93" t="str">
        <f>IF($Y38="","",IF(AND($AG38&gt;=L$6,$AG38&lt;=(L$6+6)),"◆",IF(AND($AE38&lt;=(L$6+6),$AF38&gt;=L$6),"遅",IF(AND($AC38&lt;=(L$6+6),$AD38&gt;=L$6),IF(AND($AA38&lt;=(L$6+6),$AB38&gt;=L$6),"実","外"),IF(AND($AA38&lt;=(L$6+6),$AB38&gt;=L$6),"計","")))))</f>
        <v/>
      </c>
      <c r="M38" s="93" t="str">
        <f>IF($Y38="","",IF(AND($AG38&gt;=M$6,$AG38&lt;=(M$6+6)),"◆",IF(AND($AE38&lt;=(M$6+6),$AF38&gt;=M$6),"遅",IF(AND($AC38&lt;=(M$6+6),$AD38&gt;=M$6),IF(AND($AA38&lt;=(M$6+6),$AB38&gt;=M$6),"実","外"),IF(AND($AA38&lt;=(M$6+6),$AB38&gt;=M$6),"計","")))))</f>
        <v/>
      </c>
      <c r="N38" s="93" t="str">
        <f>IF($Y38="","",IF(AND($AG38&gt;=N$6,$AG38&lt;=(N$6+6)),"◆",IF(AND($AE38&lt;=(N$6+6),$AF38&gt;=N$6),"遅",IF(AND($AC38&lt;=(N$6+6),$AD38&gt;=N$6),IF(AND($AA38&lt;=(N$6+6),$AB38&gt;=N$6),"実","外"),IF(AND($AA38&lt;=(N$6+6),$AB38&gt;=N$6),"計","")))))</f>
        <v/>
      </c>
      <c r="O38" s="93" t="str">
        <f>IF($Y38="","",IF(AND($AG38&gt;=O$6,$AG38&lt;=(O$6+6)),"◆",IF(AND($AE38&lt;=(O$6+6),$AF38&gt;=O$6),"遅",IF(AND($AC38&lt;=(O$6+6),$AD38&gt;=O$6),IF(AND($AA38&lt;=(O$6+6),$AB38&gt;=O$6),"実","外"),IF(AND($AA38&lt;=(O$6+6),$AB38&gt;=O$6),"計","")))))</f>
        <v/>
      </c>
      <c r="P38" s="93" t="str">
        <f>IF($Y38="","",IF(AND($AG38&gt;=P$6,$AG38&lt;=(P$6+6)),"◆",IF(AND($AE38&lt;=(P$6+6),$AF38&gt;=P$6),"遅",IF(AND($AC38&lt;=(P$6+6),$AD38&gt;=P$6),IF(AND($AA38&lt;=(P$6+6),$AB38&gt;=P$6),"実","外"),IF(AND($AA38&lt;=(P$6+6),$AB38&gt;=P$6),"計","")))))</f>
        <v/>
      </c>
      <c r="Q38" s="93" t="str">
        <f>IF($Y38="","",IF(AND($AG38&gt;=Q$6,$AG38&lt;=(Q$6+6)),"◆",IF(AND($AE38&lt;=(Q$6+6),$AF38&gt;=Q$6),"遅",IF(AND($AC38&lt;=(Q$6+6),$AD38&gt;=Q$6),IF(AND($AA38&lt;=(Q$6+6),$AB38&gt;=Q$6),"実","外"),IF(AND($AA38&lt;=(Q$6+6),$AB38&gt;=Q$6),"計","")))))</f>
        <v/>
      </c>
      <c r="R38" s="93" t="str">
        <f>IF($Y38="","",IF(AND($AG38&gt;=R$6,$AG38&lt;=(R$6+6)),"◆",IF(AND($AE38&lt;=(R$6+6),$AF38&gt;=R$6),"遅",IF(AND($AC38&lt;=(R$6+6),$AD38&gt;=R$6),IF(AND($AA38&lt;=(R$6+6),$AB38&gt;=R$6),"実","外"),IF(AND($AA38&lt;=(R$6+6),$AB38&gt;=R$6),"計","")))))</f>
        <v/>
      </c>
      <c r="S38" s="93" t="str">
        <f>IF($Y38="","",IF(AND($AG38&gt;=S$6,$AG38&lt;=(S$6+6)),"◆",IF(AND($AE38&lt;=(S$6+6),$AF38&gt;=S$6),"遅",IF(AND($AC38&lt;=(S$6+6),$AD38&gt;=S$6),IF(AND($AA38&lt;=(S$6+6),$AB38&gt;=S$6),"実","外"),IF(AND($AA38&lt;=(S$6+6),$AB38&gt;=S$6),"計","")))))</f>
        <v/>
      </c>
      <c r="T38" s="93" t="str">
        <f>IF($Y38="","",IF(AND($AG38&gt;=T$6,$AG38&lt;=(T$6+6)),"◆",IF(AND($AE38&lt;=(T$6+6),$AF38&gt;=T$6),"遅",IF(AND($AC38&lt;=(T$6+6),$AD38&gt;=T$6),IF(AND($AA38&lt;=(T$6+6),$AB38&gt;=T$6),"実","外"),IF(AND($AA38&lt;=(T$6+6),$AB38&gt;=T$6),"計","")))))</f>
        <v/>
      </c>
      <c r="U38" s="93" t="str">
        <f>IF($Y38="","",IF(AND($AG38&gt;=U$6,$AG38&lt;=(U$6+6)),"◆",IF(AND($AE38&lt;=(U$6+6),$AF38&gt;=U$6),"遅",IF(AND($AC38&lt;=(U$6+6),$AD38&gt;=U$6),IF(AND($AA38&lt;=(U$6+6),$AB38&gt;=U$6),"実","外"),IF(AND($AA38&lt;=(U$6+6),$AB38&gt;=U$6),"計","")))))</f>
        <v/>
      </c>
      <c r="V38" s="93" t="str">
        <f>IF($Y38="","",IF(AND($AG38&gt;=V$6,$AG38&lt;=(V$6+6)),"◆",IF(AND($AE38&lt;=(V$6+6),$AF38&gt;=V$6),"遅",IF(AND($AC38&lt;=(V$6+6),$AD38&gt;=V$6),IF(AND($AA38&lt;=(V$6+6),$AB38&gt;=V$6),"実","外"),IF(AND($AA38&lt;=(V$6+6),$AB38&gt;=V$6),"計","")))))</f>
        <v/>
      </c>
      <c r="W38" s="93" t="str">
        <f>IF($Y38="","",IF(AND($AG38&gt;=W$6,$AG38&lt;=(W$6+6)),"◆",IF(AND($AE38&lt;=(W$6+6),$AF38&gt;=W$6),"遅",IF(AND($AC38&lt;=(W$6+6),$AD38&gt;=W$6),IF(AND($AA38&lt;=(W$6+6),$AB38&gt;=W$6),"実","外"),IF(AND($AA38&lt;=(W$6+6),$AB38&gt;=W$6),"計","")))))</f>
        <v/>
      </c>
      <c r="Y38" t="str">
        <f>IF(31&gt;COUNTIF(tblSteps[週別対象],1),"",IFERROR(MATCH(31,tblSteps[週別順位],0),""))</f>
        <v/>
      </c>
      <c r="Z38" t="str">
        <f>IF($Y38="","",INDEX(tblSteps[案件ID],$Y38)&amp;"")</f>
        <v/>
      </c>
      <c r="AA38" t="str">
        <f>IF($Y38="","",INDEX(tblSteps[計開],$Y38))</f>
        <v/>
      </c>
      <c r="AB38" t="str">
        <f>IF($Y38="","",INDEX(tblSteps[計終],$Y38))</f>
        <v/>
      </c>
      <c r="AC38" t="str">
        <f>IF($Y38="","",INDEX(tblSteps[実開],$Y38))</f>
        <v/>
      </c>
      <c r="AD38" t="str">
        <f>IF($Y38="","",INDEX(tblSteps[実終],$Y38))</f>
        <v/>
      </c>
      <c r="AE38" t="str">
        <f>IF($Y38="","",INDEX(tblSteps[遅開],$Y38))</f>
        <v/>
      </c>
      <c r="AF38" t="str">
        <f>IF($Y38="","",INDEX(tblSteps[遅終],$Y38))</f>
        <v/>
      </c>
      <c r="AG38" t="str">
        <f>IF($Y38="","",INDEX(tblSteps[納期値],$Y38))</f>
        <v/>
      </c>
    </row>
    <row r="39" ht="18" customHeight="1">
      <c r="A39" s="89" t="str">
        <f>IF($Y39="","",INDEX(tblSteps[工程ID],$Y39)&amp;"")</f>
        <v/>
      </c>
      <c r="B39" s="88" t="str">
        <f>IF($Y39="","",IF($Z39=$Z38,"",$Z39&amp;" "&amp;INDEX(tblSteps[案件名],$Y39)))</f>
        <v/>
      </c>
      <c r="C39" s="88" t="str">
        <f>IF($Y39="","",INDEX(tblSteps[工程名],$Y39)&amp;"")</f>
        <v/>
      </c>
      <c r="D39" s="89" t="str">
        <f>IF($Y39="","",INDEX(tblSteps[担当],$Y39)&amp;"")</f>
        <v/>
      </c>
      <c r="E39" s="89" t="str">
        <f>IF($Y39="","",INDEX(tblSteps[状態],$Y39)&amp;"")</f>
        <v/>
      </c>
      <c r="F39" s="90" t="str">
        <f>IF($Y39="","",IF(ISNUMBER(INDEX(tblSteps[進捗率],$Y39)),INDEX(tblSteps[進捗率],$Y39),""))</f>
        <v/>
      </c>
      <c r="G39" s="91" t="str">
        <f>IF($Y39="","",IF(ISNUMBER(INDEX(tblSteps[計画開始日],$Y39)),INDEX(tblSteps[計画開始日],$Y39),"未入力"))</f>
        <v/>
      </c>
      <c r="H39" s="91" t="str">
        <f>IF($Y39="","",IF(ISNUMBER(INDEX(tblSteps[計画終了日],$Y39)),INDEX(tblSteps[計画終了日],$Y39),"未入力"))</f>
        <v/>
      </c>
      <c r="I39" s="91" t="str">
        <f>IF($Y39="","",IF(ISNUMBER(INDEX(tblSteps[完了見込日],$Y39)),INDEX(tblSteps[完了見込日],$Y39),""))</f>
        <v/>
      </c>
      <c r="J39" s="92" t="str">
        <f>IF($Y39="","",INDEX(tblSteps[注意短],$Y39)&amp;"")</f>
        <v/>
      </c>
      <c r="K39" s="93" t="str">
        <f>IF($Y39="","",IF(AND($AG39&gt;=K$6,$AG39&lt;=(K$6+6)),"◆",IF(AND($AE39&lt;=(K$6+6),$AF39&gt;=K$6),"遅",IF(AND($AC39&lt;=(K$6+6),$AD39&gt;=K$6),IF(AND($AA39&lt;=(K$6+6),$AB39&gt;=K$6),"実","外"),IF(AND($AA39&lt;=(K$6+6),$AB39&gt;=K$6),"計","")))))</f>
        <v/>
      </c>
      <c r="L39" s="93" t="str">
        <f>IF($Y39="","",IF(AND($AG39&gt;=L$6,$AG39&lt;=(L$6+6)),"◆",IF(AND($AE39&lt;=(L$6+6),$AF39&gt;=L$6),"遅",IF(AND($AC39&lt;=(L$6+6),$AD39&gt;=L$6),IF(AND($AA39&lt;=(L$6+6),$AB39&gt;=L$6),"実","外"),IF(AND($AA39&lt;=(L$6+6),$AB39&gt;=L$6),"計","")))))</f>
        <v/>
      </c>
      <c r="M39" s="93" t="str">
        <f>IF($Y39="","",IF(AND($AG39&gt;=M$6,$AG39&lt;=(M$6+6)),"◆",IF(AND($AE39&lt;=(M$6+6),$AF39&gt;=M$6),"遅",IF(AND($AC39&lt;=(M$6+6),$AD39&gt;=M$6),IF(AND($AA39&lt;=(M$6+6),$AB39&gt;=M$6),"実","外"),IF(AND($AA39&lt;=(M$6+6),$AB39&gt;=M$6),"計","")))))</f>
        <v/>
      </c>
      <c r="N39" s="93" t="str">
        <f>IF($Y39="","",IF(AND($AG39&gt;=N$6,$AG39&lt;=(N$6+6)),"◆",IF(AND($AE39&lt;=(N$6+6),$AF39&gt;=N$6),"遅",IF(AND($AC39&lt;=(N$6+6),$AD39&gt;=N$6),IF(AND($AA39&lt;=(N$6+6),$AB39&gt;=N$6),"実","外"),IF(AND($AA39&lt;=(N$6+6),$AB39&gt;=N$6),"計","")))))</f>
        <v/>
      </c>
      <c r="O39" s="93" t="str">
        <f>IF($Y39="","",IF(AND($AG39&gt;=O$6,$AG39&lt;=(O$6+6)),"◆",IF(AND($AE39&lt;=(O$6+6),$AF39&gt;=O$6),"遅",IF(AND($AC39&lt;=(O$6+6),$AD39&gt;=O$6),IF(AND($AA39&lt;=(O$6+6),$AB39&gt;=O$6),"実","外"),IF(AND($AA39&lt;=(O$6+6),$AB39&gt;=O$6),"計","")))))</f>
        <v/>
      </c>
      <c r="P39" s="93" t="str">
        <f>IF($Y39="","",IF(AND($AG39&gt;=P$6,$AG39&lt;=(P$6+6)),"◆",IF(AND($AE39&lt;=(P$6+6),$AF39&gt;=P$6),"遅",IF(AND($AC39&lt;=(P$6+6),$AD39&gt;=P$6),IF(AND($AA39&lt;=(P$6+6),$AB39&gt;=P$6),"実","外"),IF(AND($AA39&lt;=(P$6+6),$AB39&gt;=P$6),"計","")))))</f>
        <v/>
      </c>
      <c r="Q39" s="93" t="str">
        <f>IF($Y39="","",IF(AND($AG39&gt;=Q$6,$AG39&lt;=(Q$6+6)),"◆",IF(AND($AE39&lt;=(Q$6+6),$AF39&gt;=Q$6),"遅",IF(AND($AC39&lt;=(Q$6+6),$AD39&gt;=Q$6),IF(AND($AA39&lt;=(Q$6+6),$AB39&gt;=Q$6),"実","外"),IF(AND($AA39&lt;=(Q$6+6),$AB39&gt;=Q$6),"計","")))))</f>
        <v/>
      </c>
      <c r="R39" s="93" t="str">
        <f>IF($Y39="","",IF(AND($AG39&gt;=R$6,$AG39&lt;=(R$6+6)),"◆",IF(AND($AE39&lt;=(R$6+6),$AF39&gt;=R$6),"遅",IF(AND($AC39&lt;=(R$6+6),$AD39&gt;=R$6),IF(AND($AA39&lt;=(R$6+6),$AB39&gt;=R$6),"実","外"),IF(AND($AA39&lt;=(R$6+6),$AB39&gt;=R$6),"計","")))))</f>
        <v/>
      </c>
      <c r="S39" s="93" t="str">
        <f>IF($Y39="","",IF(AND($AG39&gt;=S$6,$AG39&lt;=(S$6+6)),"◆",IF(AND($AE39&lt;=(S$6+6),$AF39&gt;=S$6),"遅",IF(AND($AC39&lt;=(S$6+6),$AD39&gt;=S$6),IF(AND($AA39&lt;=(S$6+6),$AB39&gt;=S$6),"実","外"),IF(AND($AA39&lt;=(S$6+6),$AB39&gt;=S$6),"計","")))))</f>
        <v/>
      </c>
      <c r="T39" s="93" t="str">
        <f>IF($Y39="","",IF(AND($AG39&gt;=T$6,$AG39&lt;=(T$6+6)),"◆",IF(AND($AE39&lt;=(T$6+6),$AF39&gt;=T$6),"遅",IF(AND($AC39&lt;=(T$6+6),$AD39&gt;=T$6),IF(AND($AA39&lt;=(T$6+6),$AB39&gt;=T$6),"実","外"),IF(AND($AA39&lt;=(T$6+6),$AB39&gt;=T$6),"計","")))))</f>
        <v/>
      </c>
      <c r="U39" s="93" t="str">
        <f>IF($Y39="","",IF(AND($AG39&gt;=U$6,$AG39&lt;=(U$6+6)),"◆",IF(AND($AE39&lt;=(U$6+6),$AF39&gt;=U$6),"遅",IF(AND($AC39&lt;=(U$6+6),$AD39&gt;=U$6),IF(AND($AA39&lt;=(U$6+6),$AB39&gt;=U$6),"実","外"),IF(AND($AA39&lt;=(U$6+6),$AB39&gt;=U$6),"計","")))))</f>
        <v/>
      </c>
      <c r="V39" s="93" t="str">
        <f>IF($Y39="","",IF(AND($AG39&gt;=V$6,$AG39&lt;=(V$6+6)),"◆",IF(AND($AE39&lt;=(V$6+6),$AF39&gt;=V$6),"遅",IF(AND($AC39&lt;=(V$6+6),$AD39&gt;=V$6),IF(AND($AA39&lt;=(V$6+6),$AB39&gt;=V$6),"実","外"),IF(AND($AA39&lt;=(V$6+6),$AB39&gt;=V$6),"計","")))))</f>
        <v/>
      </c>
      <c r="W39" s="93" t="str">
        <f>IF($Y39="","",IF(AND($AG39&gt;=W$6,$AG39&lt;=(W$6+6)),"◆",IF(AND($AE39&lt;=(W$6+6),$AF39&gt;=W$6),"遅",IF(AND($AC39&lt;=(W$6+6),$AD39&gt;=W$6),IF(AND($AA39&lt;=(W$6+6),$AB39&gt;=W$6),"実","外"),IF(AND($AA39&lt;=(W$6+6),$AB39&gt;=W$6),"計","")))))</f>
        <v/>
      </c>
      <c r="Y39" t="str">
        <f>IF(32&gt;COUNTIF(tblSteps[週別対象],1),"",IFERROR(MATCH(32,tblSteps[週別順位],0),""))</f>
        <v/>
      </c>
      <c r="Z39" t="str">
        <f>IF($Y39="","",INDEX(tblSteps[案件ID],$Y39)&amp;"")</f>
        <v/>
      </c>
      <c r="AA39" t="str">
        <f>IF($Y39="","",INDEX(tblSteps[計開],$Y39))</f>
        <v/>
      </c>
      <c r="AB39" t="str">
        <f>IF($Y39="","",INDEX(tblSteps[計終],$Y39))</f>
        <v/>
      </c>
      <c r="AC39" t="str">
        <f>IF($Y39="","",INDEX(tblSteps[実開],$Y39))</f>
        <v/>
      </c>
      <c r="AD39" t="str">
        <f>IF($Y39="","",INDEX(tblSteps[実終],$Y39))</f>
        <v/>
      </c>
      <c r="AE39" t="str">
        <f>IF($Y39="","",INDEX(tblSteps[遅開],$Y39))</f>
        <v/>
      </c>
      <c r="AF39" t="str">
        <f>IF($Y39="","",INDEX(tblSteps[遅終],$Y39))</f>
        <v/>
      </c>
      <c r="AG39" t="str">
        <f>IF($Y39="","",INDEX(tblSteps[納期値],$Y39))</f>
        <v/>
      </c>
    </row>
    <row r="40" ht="18" customHeight="1">
      <c r="A40" s="89" t="str">
        <f>IF($Y40="","",INDEX(tblSteps[工程ID],$Y40)&amp;"")</f>
        <v/>
      </c>
      <c r="B40" s="88" t="str">
        <f>IF($Y40="","",IF($Z40=$Z39,"",$Z40&amp;" "&amp;INDEX(tblSteps[案件名],$Y40)))</f>
        <v/>
      </c>
      <c r="C40" s="88" t="str">
        <f>IF($Y40="","",INDEX(tblSteps[工程名],$Y40)&amp;"")</f>
        <v/>
      </c>
      <c r="D40" s="89" t="str">
        <f>IF($Y40="","",INDEX(tblSteps[担当],$Y40)&amp;"")</f>
        <v/>
      </c>
      <c r="E40" s="89" t="str">
        <f>IF($Y40="","",INDEX(tblSteps[状態],$Y40)&amp;"")</f>
        <v/>
      </c>
      <c r="F40" s="90" t="str">
        <f>IF($Y40="","",IF(ISNUMBER(INDEX(tblSteps[進捗率],$Y40)),INDEX(tblSteps[進捗率],$Y40),""))</f>
        <v/>
      </c>
      <c r="G40" s="91" t="str">
        <f>IF($Y40="","",IF(ISNUMBER(INDEX(tblSteps[計画開始日],$Y40)),INDEX(tblSteps[計画開始日],$Y40),"未入力"))</f>
        <v/>
      </c>
      <c r="H40" s="91" t="str">
        <f>IF($Y40="","",IF(ISNUMBER(INDEX(tblSteps[計画終了日],$Y40)),INDEX(tblSteps[計画終了日],$Y40),"未入力"))</f>
        <v/>
      </c>
      <c r="I40" s="91" t="str">
        <f>IF($Y40="","",IF(ISNUMBER(INDEX(tblSteps[完了見込日],$Y40)),INDEX(tblSteps[完了見込日],$Y40),""))</f>
        <v/>
      </c>
      <c r="J40" s="92" t="str">
        <f>IF($Y40="","",INDEX(tblSteps[注意短],$Y40)&amp;"")</f>
        <v/>
      </c>
      <c r="K40" s="93" t="str">
        <f>IF($Y40="","",IF(AND($AG40&gt;=K$6,$AG40&lt;=(K$6+6)),"◆",IF(AND($AE40&lt;=(K$6+6),$AF40&gt;=K$6),"遅",IF(AND($AC40&lt;=(K$6+6),$AD40&gt;=K$6),IF(AND($AA40&lt;=(K$6+6),$AB40&gt;=K$6),"実","外"),IF(AND($AA40&lt;=(K$6+6),$AB40&gt;=K$6),"計","")))))</f>
        <v/>
      </c>
      <c r="L40" s="93" t="str">
        <f>IF($Y40="","",IF(AND($AG40&gt;=L$6,$AG40&lt;=(L$6+6)),"◆",IF(AND($AE40&lt;=(L$6+6),$AF40&gt;=L$6),"遅",IF(AND($AC40&lt;=(L$6+6),$AD40&gt;=L$6),IF(AND($AA40&lt;=(L$6+6),$AB40&gt;=L$6),"実","外"),IF(AND($AA40&lt;=(L$6+6),$AB40&gt;=L$6),"計","")))))</f>
        <v/>
      </c>
      <c r="M40" s="93" t="str">
        <f>IF($Y40="","",IF(AND($AG40&gt;=M$6,$AG40&lt;=(M$6+6)),"◆",IF(AND($AE40&lt;=(M$6+6),$AF40&gt;=M$6),"遅",IF(AND($AC40&lt;=(M$6+6),$AD40&gt;=M$6),IF(AND($AA40&lt;=(M$6+6),$AB40&gt;=M$6),"実","外"),IF(AND($AA40&lt;=(M$6+6),$AB40&gt;=M$6),"計","")))))</f>
        <v/>
      </c>
      <c r="N40" s="93" t="str">
        <f>IF($Y40="","",IF(AND($AG40&gt;=N$6,$AG40&lt;=(N$6+6)),"◆",IF(AND($AE40&lt;=(N$6+6),$AF40&gt;=N$6),"遅",IF(AND($AC40&lt;=(N$6+6),$AD40&gt;=N$6),IF(AND($AA40&lt;=(N$6+6),$AB40&gt;=N$6),"実","外"),IF(AND($AA40&lt;=(N$6+6),$AB40&gt;=N$6),"計","")))))</f>
        <v/>
      </c>
      <c r="O40" s="93" t="str">
        <f>IF($Y40="","",IF(AND($AG40&gt;=O$6,$AG40&lt;=(O$6+6)),"◆",IF(AND($AE40&lt;=(O$6+6),$AF40&gt;=O$6),"遅",IF(AND($AC40&lt;=(O$6+6),$AD40&gt;=O$6),IF(AND($AA40&lt;=(O$6+6),$AB40&gt;=O$6),"実","外"),IF(AND($AA40&lt;=(O$6+6),$AB40&gt;=O$6),"計","")))))</f>
        <v/>
      </c>
      <c r="P40" s="93" t="str">
        <f>IF($Y40="","",IF(AND($AG40&gt;=P$6,$AG40&lt;=(P$6+6)),"◆",IF(AND($AE40&lt;=(P$6+6),$AF40&gt;=P$6),"遅",IF(AND($AC40&lt;=(P$6+6),$AD40&gt;=P$6),IF(AND($AA40&lt;=(P$6+6),$AB40&gt;=P$6),"実","外"),IF(AND($AA40&lt;=(P$6+6),$AB40&gt;=P$6),"計","")))))</f>
        <v/>
      </c>
      <c r="Q40" s="93" t="str">
        <f>IF($Y40="","",IF(AND($AG40&gt;=Q$6,$AG40&lt;=(Q$6+6)),"◆",IF(AND($AE40&lt;=(Q$6+6),$AF40&gt;=Q$6),"遅",IF(AND($AC40&lt;=(Q$6+6),$AD40&gt;=Q$6),IF(AND($AA40&lt;=(Q$6+6),$AB40&gt;=Q$6),"実","外"),IF(AND($AA40&lt;=(Q$6+6),$AB40&gt;=Q$6),"計","")))))</f>
        <v/>
      </c>
      <c r="R40" s="93" t="str">
        <f>IF($Y40="","",IF(AND($AG40&gt;=R$6,$AG40&lt;=(R$6+6)),"◆",IF(AND($AE40&lt;=(R$6+6),$AF40&gt;=R$6),"遅",IF(AND($AC40&lt;=(R$6+6),$AD40&gt;=R$6),IF(AND($AA40&lt;=(R$6+6),$AB40&gt;=R$6),"実","外"),IF(AND($AA40&lt;=(R$6+6),$AB40&gt;=R$6),"計","")))))</f>
        <v/>
      </c>
      <c r="S40" s="93" t="str">
        <f>IF($Y40="","",IF(AND($AG40&gt;=S$6,$AG40&lt;=(S$6+6)),"◆",IF(AND($AE40&lt;=(S$6+6),$AF40&gt;=S$6),"遅",IF(AND($AC40&lt;=(S$6+6),$AD40&gt;=S$6),IF(AND($AA40&lt;=(S$6+6),$AB40&gt;=S$6),"実","外"),IF(AND($AA40&lt;=(S$6+6),$AB40&gt;=S$6),"計","")))))</f>
        <v/>
      </c>
      <c r="T40" s="93" t="str">
        <f>IF($Y40="","",IF(AND($AG40&gt;=T$6,$AG40&lt;=(T$6+6)),"◆",IF(AND($AE40&lt;=(T$6+6),$AF40&gt;=T$6),"遅",IF(AND($AC40&lt;=(T$6+6),$AD40&gt;=T$6),IF(AND($AA40&lt;=(T$6+6),$AB40&gt;=T$6),"実","外"),IF(AND($AA40&lt;=(T$6+6),$AB40&gt;=T$6),"計","")))))</f>
        <v/>
      </c>
      <c r="U40" s="93" t="str">
        <f>IF($Y40="","",IF(AND($AG40&gt;=U$6,$AG40&lt;=(U$6+6)),"◆",IF(AND($AE40&lt;=(U$6+6),$AF40&gt;=U$6),"遅",IF(AND($AC40&lt;=(U$6+6),$AD40&gt;=U$6),IF(AND($AA40&lt;=(U$6+6),$AB40&gt;=U$6),"実","外"),IF(AND($AA40&lt;=(U$6+6),$AB40&gt;=U$6),"計","")))))</f>
        <v/>
      </c>
      <c r="V40" s="93" t="str">
        <f>IF($Y40="","",IF(AND($AG40&gt;=V$6,$AG40&lt;=(V$6+6)),"◆",IF(AND($AE40&lt;=(V$6+6),$AF40&gt;=V$6),"遅",IF(AND($AC40&lt;=(V$6+6),$AD40&gt;=V$6),IF(AND($AA40&lt;=(V$6+6),$AB40&gt;=V$6),"実","外"),IF(AND($AA40&lt;=(V$6+6),$AB40&gt;=V$6),"計","")))))</f>
        <v/>
      </c>
      <c r="W40" s="93" t="str">
        <f>IF($Y40="","",IF(AND($AG40&gt;=W$6,$AG40&lt;=(W$6+6)),"◆",IF(AND($AE40&lt;=(W$6+6),$AF40&gt;=W$6),"遅",IF(AND($AC40&lt;=(W$6+6),$AD40&gt;=W$6),IF(AND($AA40&lt;=(W$6+6),$AB40&gt;=W$6),"実","外"),IF(AND($AA40&lt;=(W$6+6),$AB40&gt;=W$6),"計","")))))</f>
        <v/>
      </c>
      <c r="Y40" t="str">
        <f>IF(33&gt;COUNTIF(tblSteps[週別対象],1),"",IFERROR(MATCH(33,tblSteps[週別順位],0),""))</f>
        <v/>
      </c>
      <c r="Z40" t="str">
        <f>IF($Y40="","",INDEX(tblSteps[案件ID],$Y40)&amp;"")</f>
        <v/>
      </c>
      <c r="AA40" t="str">
        <f>IF($Y40="","",INDEX(tblSteps[計開],$Y40))</f>
        <v/>
      </c>
      <c r="AB40" t="str">
        <f>IF($Y40="","",INDEX(tblSteps[計終],$Y40))</f>
        <v/>
      </c>
      <c r="AC40" t="str">
        <f>IF($Y40="","",INDEX(tblSteps[実開],$Y40))</f>
        <v/>
      </c>
      <c r="AD40" t="str">
        <f>IF($Y40="","",INDEX(tblSteps[実終],$Y40))</f>
        <v/>
      </c>
      <c r="AE40" t="str">
        <f>IF($Y40="","",INDEX(tblSteps[遅開],$Y40))</f>
        <v/>
      </c>
      <c r="AF40" t="str">
        <f>IF($Y40="","",INDEX(tblSteps[遅終],$Y40))</f>
        <v/>
      </c>
      <c r="AG40" t="str">
        <f>IF($Y40="","",INDEX(tblSteps[納期値],$Y40))</f>
        <v/>
      </c>
    </row>
    <row r="41" ht="18" customHeight="1">
      <c r="A41" s="89" t="str">
        <f>IF($Y41="","",INDEX(tblSteps[工程ID],$Y41)&amp;"")</f>
        <v/>
      </c>
      <c r="B41" s="88" t="str">
        <f>IF($Y41="","",IF($Z41=$Z40,"",$Z41&amp;" "&amp;INDEX(tblSteps[案件名],$Y41)))</f>
        <v/>
      </c>
      <c r="C41" s="88" t="str">
        <f>IF($Y41="","",INDEX(tblSteps[工程名],$Y41)&amp;"")</f>
        <v/>
      </c>
      <c r="D41" s="89" t="str">
        <f>IF($Y41="","",INDEX(tblSteps[担当],$Y41)&amp;"")</f>
        <v/>
      </c>
      <c r="E41" s="89" t="str">
        <f>IF($Y41="","",INDEX(tblSteps[状態],$Y41)&amp;"")</f>
        <v/>
      </c>
      <c r="F41" s="90" t="str">
        <f>IF($Y41="","",IF(ISNUMBER(INDEX(tblSteps[進捗率],$Y41)),INDEX(tblSteps[進捗率],$Y41),""))</f>
        <v/>
      </c>
      <c r="G41" s="91" t="str">
        <f>IF($Y41="","",IF(ISNUMBER(INDEX(tblSteps[計画開始日],$Y41)),INDEX(tblSteps[計画開始日],$Y41),"未入力"))</f>
        <v/>
      </c>
      <c r="H41" s="91" t="str">
        <f>IF($Y41="","",IF(ISNUMBER(INDEX(tblSteps[計画終了日],$Y41)),INDEX(tblSteps[計画終了日],$Y41),"未入力"))</f>
        <v/>
      </c>
      <c r="I41" s="91" t="str">
        <f>IF($Y41="","",IF(ISNUMBER(INDEX(tblSteps[完了見込日],$Y41)),INDEX(tblSteps[完了見込日],$Y41),""))</f>
        <v/>
      </c>
      <c r="J41" s="92" t="str">
        <f>IF($Y41="","",INDEX(tblSteps[注意短],$Y41)&amp;"")</f>
        <v/>
      </c>
      <c r="K41" s="93" t="str">
        <f>IF($Y41="","",IF(AND($AG41&gt;=K$6,$AG41&lt;=(K$6+6)),"◆",IF(AND($AE41&lt;=(K$6+6),$AF41&gt;=K$6),"遅",IF(AND($AC41&lt;=(K$6+6),$AD41&gt;=K$6),IF(AND($AA41&lt;=(K$6+6),$AB41&gt;=K$6),"実","外"),IF(AND($AA41&lt;=(K$6+6),$AB41&gt;=K$6),"計","")))))</f>
        <v/>
      </c>
      <c r="L41" s="93" t="str">
        <f>IF($Y41="","",IF(AND($AG41&gt;=L$6,$AG41&lt;=(L$6+6)),"◆",IF(AND($AE41&lt;=(L$6+6),$AF41&gt;=L$6),"遅",IF(AND($AC41&lt;=(L$6+6),$AD41&gt;=L$6),IF(AND($AA41&lt;=(L$6+6),$AB41&gt;=L$6),"実","外"),IF(AND($AA41&lt;=(L$6+6),$AB41&gt;=L$6),"計","")))))</f>
        <v/>
      </c>
      <c r="M41" s="93" t="str">
        <f>IF($Y41="","",IF(AND($AG41&gt;=M$6,$AG41&lt;=(M$6+6)),"◆",IF(AND($AE41&lt;=(M$6+6),$AF41&gt;=M$6),"遅",IF(AND($AC41&lt;=(M$6+6),$AD41&gt;=M$6),IF(AND($AA41&lt;=(M$6+6),$AB41&gt;=M$6),"実","外"),IF(AND($AA41&lt;=(M$6+6),$AB41&gt;=M$6),"計","")))))</f>
        <v/>
      </c>
      <c r="N41" s="93" t="str">
        <f>IF($Y41="","",IF(AND($AG41&gt;=N$6,$AG41&lt;=(N$6+6)),"◆",IF(AND($AE41&lt;=(N$6+6),$AF41&gt;=N$6),"遅",IF(AND($AC41&lt;=(N$6+6),$AD41&gt;=N$6),IF(AND($AA41&lt;=(N$6+6),$AB41&gt;=N$6),"実","外"),IF(AND($AA41&lt;=(N$6+6),$AB41&gt;=N$6),"計","")))))</f>
        <v/>
      </c>
      <c r="O41" s="93" t="str">
        <f>IF($Y41="","",IF(AND($AG41&gt;=O$6,$AG41&lt;=(O$6+6)),"◆",IF(AND($AE41&lt;=(O$6+6),$AF41&gt;=O$6),"遅",IF(AND($AC41&lt;=(O$6+6),$AD41&gt;=O$6),IF(AND($AA41&lt;=(O$6+6),$AB41&gt;=O$6),"実","外"),IF(AND($AA41&lt;=(O$6+6),$AB41&gt;=O$6),"計","")))))</f>
        <v/>
      </c>
      <c r="P41" s="93" t="str">
        <f>IF($Y41="","",IF(AND($AG41&gt;=P$6,$AG41&lt;=(P$6+6)),"◆",IF(AND($AE41&lt;=(P$6+6),$AF41&gt;=P$6),"遅",IF(AND($AC41&lt;=(P$6+6),$AD41&gt;=P$6),IF(AND($AA41&lt;=(P$6+6),$AB41&gt;=P$6),"実","外"),IF(AND($AA41&lt;=(P$6+6),$AB41&gt;=P$6),"計","")))))</f>
        <v/>
      </c>
      <c r="Q41" s="93" t="str">
        <f>IF($Y41="","",IF(AND($AG41&gt;=Q$6,$AG41&lt;=(Q$6+6)),"◆",IF(AND($AE41&lt;=(Q$6+6),$AF41&gt;=Q$6),"遅",IF(AND($AC41&lt;=(Q$6+6),$AD41&gt;=Q$6),IF(AND($AA41&lt;=(Q$6+6),$AB41&gt;=Q$6),"実","外"),IF(AND($AA41&lt;=(Q$6+6),$AB41&gt;=Q$6),"計","")))))</f>
        <v/>
      </c>
      <c r="R41" s="93" t="str">
        <f>IF($Y41="","",IF(AND($AG41&gt;=R$6,$AG41&lt;=(R$6+6)),"◆",IF(AND($AE41&lt;=(R$6+6),$AF41&gt;=R$6),"遅",IF(AND($AC41&lt;=(R$6+6),$AD41&gt;=R$6),IF(AND($AA41&lt;=(R$6+6),$AB41&gt;=R$6),"実","外"),IF(AND($AA41&lt;=(R$6+6),$AB41&gt;=R$6),"計","")))))</f>
        <v/>
      </c>
      <c r="S41" s="93" t="str">
        <f>IF($Y41="","",IF(AND($AG41&gt;=S$6,$AG41&lt;=(S$6+6)),"◆",IF(AND($AE41&lt;=(S$6+6),$AF41&gt;=S$6),"遅",IF(AND($AC41&lt;=(S$6+6),$AD41&gt;=S$6),IF(AND($AA41&lt;=(S$6+6),$AB41&gt;=S$6),"実","外"),IF(AND($AA41&lt;=(S$6+6),$AB41&gt;=S$6),"計","")))))</f>
        <v/>
      </c>
      <c r="T41" s="93" t="str">
        <f>IF($Y41="","",IF(AND($AG41&gt;=T$6,$AG41&lt;=(T$6+6)),"◆",IF(AND($AE41&lt;=(T$6+6),$AF41&gt;=T$6),"遅",IF(AND($AC41&lt;=(T$6+6),$AD41&gt;=T$6),IF(AND($AA41&lt;=(T$6+6),$AB41&gt;=T$6),"実","外"),IF(AND($AA41&lt;=(T$6+6),$AB41&gt;=T$6),"計","")))))</f>
        <v/>
      </c>
      <c r="U41" s="93" t="str">
        <f>IF($Y41="","",IF(AND($AG41&gt;=U$6,$AG41&lt;=(U$6+6)),"◆",IF(AND($AE41&lt;=(U$6+6),$AF41&gt;=U$6),"遅",IF(AND($AC41&lt;=(U$6+6),$AD41&gt;=U$6),IF(AND($AA41&lt;=(U$6+6),$AB41&gt;=U$6),"実","外"),IF(AND($AA41&lt;=(U$6+6),$AB41&gt;=U$6),"計","")))))</f>
        <v/>
      </c>
      <c r="V41" s="93" t="str">
        <f>IF($Y41="","",IF(AND($AG41&gt;=V$6,$AG41&lt;=(V$6+6)),"◆",IF(AND($AE41&lt;=(V$6+6),$AF41&gt;=V$6),"遅",IF(AND($AC41&lt;=(V$6+6),$AD41&gt;=V$6),IF(AND($AA41&lt;=(V$6+6),$AB41&gt;=V$6),"実","外"),IF(AND($AA41&lt;=(V$6+6),$AB41&gt;=V$6),"計","")))))</f>
        <v/>
      </c>
      <c r="W41" s="93" t="str">
        <f>IF($Y41="","",IF(AND($AG41&gt;=W$6,$AG41&lt;=(W$6+6)),"◆",IF(AND($AE41&lt;=(W$6+6),$AF41&gt;=W$6),"遅",IF(AND($AC41&lt;=(W$6+6),$AD41&gt;=W$6),IF(AND($AA41&lt;=(W$6+6),$AB41&gt;=W$6),"実","外"),IF(AND($AA41&lt;=(W$6+6),$AB41&gt;=W$6),"計","")))))</f>
        <v/>
      </c>
      <c r="Y41" t="str">
        <f>IF(34&gt;COUNTIF(tblSteps[週別対象],1),"",IFERROR(MATCH(34,tblSteps[週別順位],0),""))</f>
        <v/>
      </c>
      <c r="Z41" t="str">
        <f>IF($Y41="","",INDEX(tblSteps[案件ID],$Y41)&amp;"")</f>
        <v/>
      </c>
      <c r="AA41" t="str">
        <f>IF($Y41="","",INDEX(tblSteps[計開],$Y41))</f>
        <v/>
      </c>
      <c r="AB41" t="str">
        <f>IF($Y41="","",INDEX(tblSteps[計終],$Y41))</f>
        <v/>
      </c>
      <c r="AC41" t="str">
        <f>IF($Y41="","",INDEX(tblSteps[実開],$Y41))</f>
        <v/>
      </c>
      <c r="AD41" t="str">
        <f>IF($Y41="","",INDEX(tblSteps[実終],$Y41))</f>
        <v/>
      </c>
      <c r="AE41" t="str">
        <f>IF($Y41="","",INDEX(tblSteps[遅開],$Y41))</f>
        <v/>
      </c>
      <c r="AF41" t="str">
        <f>IF($Y41="","",INDEX(tblSteps[遅終],$Y41))</f>
        <v/>
      </c>
      <c r="AG41" t="str">
        <f>IF($Y41="","",INDEX(tblSteps[納期値],$Y41))</f>
        <v/>
      </c>
    </row>
    <row r="42" ht="18" customHeight="1">
      <c r="A42" s="89" t="str">
        <f>IF($Y42="","",INDEX(tblSteps[工程ID],$Y42)&amp;"")</f>
        <v/>
      </c>
      <c r="B42" s="88" t="str">
        <f>IF($Y42="","",IF($Z42=$Z41,"",$Z42&amp;" "&amp;INDEX(tblSteps[案件名],$Y42)))</f>
        <v/>
      </c>
      <c r="C42" s="88" t="str">
        <f>IF($Y42="","",INDEX(tblSteps[工程名],$Y42)&amp;"")</f>
        <v/>
      </c>
      <c r="D42" s="89" t="str">
        <f>IF($Y42="","",INDEX(tblSteps[担当],$Y42)&amp;"")</f>
        <v/>
      </c>
      <c r="E42" s="89" t="str">
        <f>IF($Y42="","",INDEX(tblSteps[状態],$Y42)&amp;"")</f>
        <v/>
      </c>
      <c r="F42" s="90" t="str">
        <f>IF($Y42="","",IF(ISNUMBER(INDEX(tblSteps[進捗率],$Y42)),INDEX(tblSteps[進捗率],$Y42),""))</f>
        <v/>
      </c>
      <c r="G42" s="91" t="str">
        <f>IF($Y42="","",IF(ISNUMBER(INDEX(tblSteps[計画開始日],$Y42)),INDEX(tblSteps[計画開始日],$Y42),"未入力"))</f>
        <v/>
      </c>
      <c r="H42" s="91" t="str">
        <f>IF($Y42="","",IF(ISNUMBER(INDEX(tblSteps[計画終了日],$Y42)),INDEX(tblSteps[計画終了日],$Y42),"未入力"))</f>
        <v/>
      </c>
      <c r="I42" s="91" t="str">
        <f>IF($Y42="","",IF(ISNUMBER(INDEX(tblSteps[完了見込日],$Y42)),INDEX(tblSteps[完了見込日],$Y42),""))</f>
        <v/>
      </c>
      <c r="J42" s="92" t="str">
        <f>IF($Y42="","",INDEX(tblSteps[注意短],$Y42)&amp;"")</f>
        <v/>
      </c>
      <c r="K42" s="93" t="str">
        <f>IF($Y42="","",IF(AND($AG42&gt;=K$6,$AG42&lt;=(K$6+6)),"◆",IF(AND($AE42&lt;=(K$6+6),$AF42&gt;=K$6),"遅",IF(AND($AC42&lt;=(K$6+6),$AD42&gt;=K$6),IF(AND($AA42&lt;=(K$6+6),$AB42&gt;=K$6),"実","外"),IF(AND($AA42&lt;=(K$6+6),$AB42&gt;=K$6),"計","")))))</f>
        <v/>
      </c>
      <c r="L42" s="93" t="str">
        <f>IF($Y42="","",IF(AND($AG42&gt;=L$6,$AG42&lt;=(L$6+6)),"◆",IF(AND($AE42&lt;=(L$6+6),$AF42&gt;=L$6),"遅",IF(AND($AC42&lt;=(L$6+6),$AD42&gt;=L$6),IF(AND($AA42&lt;=(L$6+6),$AB42&gt;=L$6),"実","外"),IF(AND($AA42&lt;=(L$6+6),$AB42&gt;=L$6),"計","")))))</f>
        <v/>
      </c>
      <c r="M42" s="93" t="str">
        <f>IF($Y42="","",IF(AND($AG42&gt;=M$6,$AG42&lt;=(M$6+6)),"◆",IF(AND($AE42&lt;=(M$6+6),$AF42&gt;=M$6),"遅",IF(AND($AC42&lt;=(M$6+6),$AD42&gt;=M$6),IF(AND($AA42&lt;=(M$6+6),$AB42&gt;=M$6),"実","外"),IF(AND($AA42&lt;=(M$6+6),$AB42&gt;=M$6),"計","")))))</f>
        <v/>
      </c>
      <c r="N42" s="93" t="str">
        <f>IF($Y42="","",IF(AND($AG42&gt;=N$6,$AG42&lt;=(N$6+6)),"◆",IF(AND($AE42&lt;=(N$6+6),$AF42&gt;=N$6),"遅",IF(AND($AC42&lt;=(N$6+6),$AD42&gt;=N$6),IF(AND($AA42&lt;=(N$6+6),$AB42&gt;=N$6),"実","外"),IF(AND($AA42&lt;=(N$6+6),$AB42&gt;=N$6),"計","")))))</f>
        <v/>
      </c>
      <c r="O42" s="93" t="str">
        <f>IF($Y42="","",IF(AND($AG42&gt;=O$6,$AG42&lt;=(O$6+6)),"◆",IF(AND($AE42&lt;=(O$6+6),$AF42&gt;=O$6),"遅",IF(AND($AC42&lt;=(O$6+6),$AD42&gt;=O$6),IF(AND($AA42&lt;=(O$6+6),$AB42&gt;=O$6),"実","外"),IF(AND($AA42&lt;=(O$6+6),$AB42&gt;=O$6),"計","")))))</f>
        <v/>
      </c>
      <c r="P42" s="93" t="str">
        <f>IF($Y42="","",IF(AND($AG42&gt;=P$6,$AG42&lt;=(P$6+6)),"◆",IF(AND($AE42&lt;=(P$6+6),$AF42&gt;=P$6),"遅",IF(AND($AC42&lt;=(P$6+6),$AD42&gt;=P$6),IF(AND($AA42&lt;=(P$6+6),$AB42&gt;=P$6),"実","外"),IF(AND($AA42&lt;=(P$6+6),$AB42&gt;=P$6),"計","")))))</f>
        <v/>
      </c>
      <c r="Q42" s="93" t="str">
        <f>IF($Y42="","",IF(AND($AG42&gt;=Q$6,$AG42&lt;=(Q$6+6)),"◆",IF(AND($AE42&lt;=(Q$6+6),$AF42&gt;=Q$6),"遅",IF(AND($AC42&lt;=(Q$6+6),$AD42&gt;=Q$6),IF(AND($AA42&lt;=(Q$6+6),$AB42&gt;=Q$6),"実","外"),IF(AND($AA42&lt;=(Q$6+6),$AB42&gt;=Q$6),"計","")))))</f>
        <v/>
      </c>
      <c r="R42" s="93" t="str">
        <f>IF($Y42="","",IF(AND($AG42&gt;=R$6,$AG42&lt;=(R$6+6)),"◆",IF(AND($AE42&lt;=(R$6+6),$AF42&gt;=R$6),"遅",IF(AND($AC42&lt;=(R$6+6),$AD42&gt;=R$6),IF(AND($AA42&lt;=(R$6+6),$AB42&gt;=R$6),"実","外"),IF(AND($AA42&lt;=(R$6+6),$AB42&gt;=R$6),"計","")))))</f>
        <v/>
      </c>
      <c r="S42" s="93" t="str">
        <f>IF($Y42="","",IF(AND($AG42&gt;=S$6,$AG42&lt;=(S$6+6)),"◆",IF(AND($AE42&lt;=(S$6+6),$AF42&gt;=S$6),"遅",IF(AND($AC42&lt;=(S$6+6),$AD42&gt;=S$6),IF(AND($AA42&lt;=(S$6+6),$AB42&gt;=S$6),"実","外"),IF(AND($AA42&lt;=(S$6+6),$AB42&gt;=S$6),"計","")))))</f>
        <v/>
      </c>
      <c r="T42" s="93" t="str">
        <f>IF($Y42="","",IF(AND($AG42&gt;=T$6,$AG42&lt;=(T$6+6)),"◆",IF(AND($AE42&lt;=(T$6+6),$AF42&gt;=T$6),"遅",IF(AND($AC42&lt;=(T$6+6),$AD42&gt;=T$6),IF(AND($AA42&lt;=(T$6+6),$AB42&gt;=T$6),"実","外"),IF(AND($AA42&lt;=(T$6+6),$AB42&gt;=T$6),"計","")))))</f>
        <v/>
      </c>
      <c r="U42" s="93" t="str">
        <f>IF($Y42="","",IF(AND($AG42&gt;=U$6,$AG42&lt;=(U$6+6)),"◆",IF(AND($AE42&lt;=(U$6+6),$AF42&gt;=U$6),"遅",IF(AND($AC42&lt;=(U$6+6),$AD42&gt;=U$6),IF(AND($AA42&lt;=(U$6+6),$AB42&gt;=U$6),"実","外"),IF(AND($AA42&lt;=(U$6+6),$AB42&gt;=U$6),"計","")))))</f>
        <v/>
      </c>
      <c r="V42" s="93" t="str">
        <f>IF($Y42="","",IF(AND($AG42&gt;=V$6,$AG42&lt;=(V$6+6)),"◆",IF(AND($AE42&lt;=(V$6+6),$AF42&gt;=V$6),"遅",IF(AND($AC42&lt;=(V$6+6),$AD42&gt;=V$6),IF(AND($AA42&lt;=(V$6+6),$AB42&gt;=V$6),"実","外"),IF(AND($AA42&lt;=(V$6+6),$AB42&gt;=V$6),"計","")))))</f>
        <v/>
      </c>
      <c r="W42" s="93" t="str">
        <f>IF($Y42="","",IF(AND($AG42&gt;=W$6,$AG42&lt;=(W$6+6)),"◆",IF(AND($AE42&lt;=(W$6+6),$AF42&gt;=W$6),"遅",IF(AND($AC42&lt;=(W$6+6),$AD42&gt;=W$6),IF(AND($AA42&lt;=(W$6+6),$AB42&gt;=W$6),"実","外"),IF(AND($AA42&lt;=(W$6+6),$AB42&gt;=W$6),"計","")))))</f>
        <v/>
      </c>
      <c r="Y42" t="str">
        <f>IF(35&gt;COUNTIF(tblSteps[週別対象],1),"",IFERROR(MATCH(35,tblSteps[週別順位],0),""))</f>
        <v/>
      </c>
      <c r="Z42" t="str">
        <f>IF($Y42="","",INDEX(tblSteps[案件ID],$Y42)&amp;"")</f>
        <v/>
      </c>
      <c r="AA42" t="str">
        <f>IF($Y42="","",INDEX(tblSteps[計開],$Y42))</f>
        <v/>
      </c>
      <c r="AB42" t="str">
        <f>IF($Y42="","",INDEX(tblSteps[計終],$Y42))</f>
        <v/>
      </c>
      <c r="AC42" t="str">
        <f>IF($Y42="","",INDEX(tblSteps[実開],$Y42))</f>
        <v/>
      </c>
      <c r="AD42" t="str">
        <f>IF($Y42="","",INDEX(tblSteps[実終],$Y42))</f>
        <v/>
      </c>
      <c r="AE42" t="str">
        <f>IF($Y42="","",INDEX(tblSteps[遅開],$Y42))</f>
        <v/>
      </c>
      <c r="AF42" t="str">
        <f>IF($Y42="","",INDEX(tblSteps[遅終],$Y42))</f>
        <v/>
      </c>
      <c r="AG42" t="str">
        <f>IF($Y42="","",INDEX(tblSteps[納期値],$Y42))</f>
        <v/>
      </c>
    </row>
    <row r="43" ht="18" customHeight="1">
      <c r="A43" s="89" t="str">
        <f>IF($Y43="","",INDEX(tblSteps[工程ID],$Y43)&amp;"")</f>
        <v/>
      </c>
      <c r="B43" s="88" t="str">
        <f>IF($Y43="","",IF($Z43=$Z42,"",$Z43&amp;" "&amp;INDEX(tblSteps[案件名],$Y43)))</f>
        <v/>
      </c>
      <c r="C43" s="88" t="str">
        <f>IF($Y43="","",INDEX(tblSteps[工程名],$Y43)&amp;"")</f>
        <v/>
      </c>
      <c r="D43" s="89" t="str">
        <f>IF($Y43="","",INDEX(tblSteps[担当],$Y43)&amp;"")</f>
        <v/>
      </c>
      <c r="E43" s="89" t="str">
        <f>IF($Y43="","",INDEX(tblSteps[状態],$Y43)&amp;"")</f>
        <v/>
      </c>
      <c r="F43" s="90" t="str">
        <f>IF($Y43="","",IF(ISNUMBER(INDEX(tblSteps[進捗率],$Y43)),INDEX(tblSteps[進捗率],$Y43),""))</f>
        <v/>
      </c>
      <c r="G43" s="91" t="str">
        <f>IF($Y43="","",IF(ISNUMBER(INDEX(tblSteps[計画開始日],$Y43)),INDEX(tblSteps[計画開始日],$Y43),"未入力"))</f>
        <v/>
      </c>
      <c r="H43" s="91" t="str">
        <f>IF($Y43="","",IF(ISNUMBER(INDEX(tblSteps[計画終了日],$Y43)),INDEX(tblSteps[計画終了日],$Y43),"未入力"))</f>
        <v/>
      </c>
      <c r="I43" s="91" t="str">
        <f>IF($Y43="","",IF(ISNUMBER(INDEX(tblSteps[完了見込日],$Y43)),INDEX(tblSteps[完了見込日],$Y43),""))</f>
        <v/>
      </c>
      <c r="J43" s="92" t="str">
        <f>IF($Y43="","",INDEX(tblSteps[注意短],$Y43)&amp;"")</f>
        <v/>
      </c>
      <c r="K43" s="93" t="str">
        <f>IF($Y43="","",IF(AND($AG43&gt;=K$6,$AG43&lt;=(K$6+6)),"◆",IF(AND($AE43&lt;=(K$6+6),$AF43&gt;=K$6),"遅",IF(AND($AC43&lt;=(K$6+6),$AD43&gt;=K$6),IF(AND($AA43&lt;=(K$6+6),$AB43&gt;=K$6),"実","外"),IF(AND($AA43&lt;=(K$6+6),$AB43&gt;=K$6),"計","")))))</f>
        <v/>
      </c>
      <c r="L43" s="93" t="str">
        <f>IF($Y43="","",IF(AND($AG43&gt;=L$6,$AG43&lt;=(L$6+6)),"◆",IF(AND($AE43&lt;=(L$6+6),$AF43&gt;=L$6),"遅",IF(AND($AC43&lt;=(L$6+6),$AD43&gt;=L$6),IF(AND($AA43&lt;=(L$6+6),$AB43&gt;=L$6),"実","外"),IF(AND($AA43&lt;=(L$6+6),$AB43&gt;=L$6),"計","")))))</f>
        <v/>
      </c>
      <c r="M43" s="93" t="str">
        <f>IF($Y43="","",IF(AND($AG43&gt;=M$6,$AG43&lt;=(M$6+6)),"◆",IF(AND($AE43&lt;=(M$6+6),$AF43&gt;=M$6),"遅",IF(AND($AC43&lt;=(M$6+6),$AD43&gt;=M$6),IF(AND($AA43&lt;=(M$6+6),$AB43&gt;=M$6),"実","外"),IF(AND($AA43&lt;=(M$6+6),$AB43&gt;=M$6),"計","")))))</f>
        <v/>
      </c>
      <c r="N43" s="93" t="str">
        <f>IF($Y43="","",IF(AND($AG43&gt;=N$6,$AG43&lt;=(N$6+6)),"◆",IF(AND($AE43&lt;=(N$6+6),$AF43&gt;=N$6),"遅",IF(AND($AC43&lt;=(N$6+6),$AD43&gt;=N$6),IF(AND($AA43&lt;=(N$6+6),$AB43&gt;=N$6),"実","外"),IF(AND($AA43&lt;=(N$6+6),$AB43&gt;=N$6),"計","")))))</f>
        <v/>
      </c>
      <c r="O43" s="93" t="str">
        <f>IF($Y43="","",IF(AND($AG43&gt;=O$6,$AG43&lt;=(O$6+6)),"◆",IF(AND($AE43&lt;=(O$6+6),$AF43&gt;=O$6),"遅",IF(AND($AC43&lt;=(O$6+6),$AD43&gt;=O$6),IF(AND($AA43&lt;=(O$6+6),$AB43&gt;=O$6),"実","外"),IF(AND($AA43&lt;=(O$6+6),$AB43&gt;=O$6),"計","")))))</f>
        <v/>
      </c>
      <c r="P43" s="93" t="str">
        <f>IF($Y43="","",IF(AND($AG43&gt;=P$6,$AG43&lt;=(P$6+6)),"◆",IF(AND($AE43&lt;=(P$6+6),$AF43&gt;=P$6),"遅",IF(AND($AC43&lt;=(P$6+6),$AD43&gt;=P$6),IF(AND($AA43&lt;=(P$6+6),$AB43&gt;=P$6),"実","外"),IF(AND($AA43&lt;=(P$6+6),$AB43&gt;=P$6),"計","")))))</f>
        <v/>
      </c>
      <c r="Q43" s="93" t="str">
        <f>IF($Y43="","",IF(AND($AG43&gt;=Q$6,$AG43&lt;=(Q$6+6)),"◆",IF(AND($AE43&lt;=(Q$6+6),$AF43&gt;=Q$6),"遅",IF(AND($AC43&lt;=(Q$6+6),$AD43&gt;=Q$6),IF(AND($AA43&lt;=(Q$6+6),$AB43&gt;=Q$6),"実","外"),IF(AND($AA43&lt;=(Q$6+6),$AB43&gt;=Q$6),"計","")))))</f>
        <v/>
      </c>
      <c r="R43" s="93" t="str">
        <f>IF($Y43="","",IF(AND($AG43&gt;=R$6,$AG43&lt;=(R$6+6)),"◆",IF(AND($AE43&lt;=(R$6+6),$AF43&gt;=R$6),"遅",IF(AND($AC43&lt;=(R$6+6),$AD43&gt;=R$6),IF(AND($AA43&lt;=(R$6+6),$AB43&gt;=R$6),"実","外"),IF(AND($AA43&lt;=(R$6+6),$AB43&gt;=R$6),"計","")))))</f>
        <v/>
      </c>
      <c r="S43" s="93" t="str">
        <f>IF($Y43="","",IF(AND($AG43&gt;=S$6,$AG43&lt;=(S$6+6)),"◆",IF(AND($AE43&lt;=(S$6+6),$AF43&gt;=S$6),"遅",IF(AND($AC43&lt;=(S$6+6),$AD43&gt;=S$6),IF(AND($AA43&lt;=(S$6+6),$AB43&gt;=S$6),"実","外"),IF(AND($AA43&lt;=(S$6+6),$AB43&gt;=S$6),"計","")))))</f>
        <v/>
      </c>
      <c r="T43" s="93" t="str">
        <f>IF($Y43="","",IF(AND($AG43&gt;=T$6,$AG43&lt;=(T$6+6)),"◆",IF(AND($AE43&lt;=(T$6+6),$AF43&gt;=T$6),"遅",IF(AND($AC43&lt;=(T$6+6),$AD43&gt;=T$6),IF(AND($AA43&lt;=(T$6+6),$AB43&gt;=T$6),"実","外"),IF(AND($AA43&lt;=(T$6+6),$AB43&gt;=T$6),"計","")))))</f>
        <v/>
      </c>
      <c r="U43" s="93" t="str">
        <f>IF($Y43="","",IF(AND($AG43&gt;=U$6,$AG43&lt;=(U$6+6)),"◆",IF(AND($AE43&lt;=(U$6+6),$AF43&gt;=U$6),"遅",IF(AND($AC43&lt;=(U$6+6),$AD43&gt;=U$6),IF(AND($AA43&lt;=(U$6+6),$AB43&gt;=U$6),"実","外"),IF(AND($AA43&lt;=(U$6+6),$AB43&gt;=U$6),"計","")))))</f>
        <v/>
      </c>
      <c r="V43" s="93" t="str">
        <f>IF($Y43="","",IF(AND($AG43&gt;=V$6,$AG43&lt;=(V$6+6)),"◆",IF(AND($AE43&lt;=(V$6+6),$AF43&gt;=V$6),"遅",IF(AND($AC43&lt;=(V$6+6),$AD43&gt;=V$6),IF(AND($AA43&lt;=(V$6+6),$AB43&gt;=V$6),"実","外"),IF(AND($AA43&lt;=(V$6+6),$AB43&gt;=V$6),"計","")))))</f>
        <v/>
      </c>
      <c r="W43" s="93" t="str">
        <f>IF($Y43="","",IF(AND($AG43&gt;=W$6,$AG43&lt;=(W$6+6)),"◆",IF(AND($AE43&lt;=(W$6+6),$AF43&gt;=W$6),"遅",IF(AND($AC43&lt;=(W$6+6),$AD43&gt;=W$6),IF(AND($AA43&lt;=(W$6+6),$AB43&gt;=W$6),"実","外"),IF(AND($AA43&lt;=(W$6+6),$AB43&gt;=W$6),"計","")))))</f>
        <v/>
      </c>
      <c r="Y43" t="str">
        <f>IF(36&gt;COUNTIF(tblSteps[週別対象],1),"",IFERROR(MATCH(36,tblSteps[週別順位],0),""))</f>
        <v/>
      </c>
      <c r="Z43" t="str">
        <f>IF($Y43="","",INDEX(tblSteps[案件ID],$Y43)&amp;"")</f>
        <v/>
      </c>
      <c r="AA43" t="str">
        <f>IF($Y43="","",INDEX(tblSteps[計開],$Y43))</f>
        <v/>
      </c>
      <c r="AB43" t="str">
        <f>IF($Y43="","",INDEX(tblSteps[計終],$Y43))</f>
        <v/>
      </c>
      <c r="AC43" t="str">
        <f>IF($Y43="","",INDEX(tblSteps[実開],$Y43))</f>
        <v/>
      </c>
      <c r="AD43" t="str">
        <f>IF($Y43="","",INDEX(tblSteps[実終],$Y43))</f>
        <v/>
      </c>
      <c r="AE43" t="str">
        <f>IF($Y43="","",INDEX(tblSteps[遅開],$Y43))</f>
        <v/>
      </c>
      <c r="AF43" t="str">
        <f>IF($Y43="","",INDEX(tblSteps[遅終],$Y43))</f>
        <v/>
      </c>
      <c r="AG43" t="str">
        <f>IF($Y43="","",INDEX(tblSteps[納期値],$Y43))</f>
        <v/>
      </c>
    </row>
    <row r="44" ht="18" customHeight="1">
      <c r="A44" s="89" t="str">
        <f>IF($Y44="","",INDEX(tblSteps[工程ID],$Y44)&amp;"")</f>
        <v/>
      </c>
      <c r="B44" s="88" t="str">
        <f>IF($Y44="","",IF($Z44=$Z43,"",$Z44&amp;" "&amp;INDEX(tblSteps[案件名],$Y44)))</f>
        <v/>
      </c>
      <c r="C44" s="88" t="str">
        <f>IF($Y44="","",INDEX(tblSteps[工程名],$Y44)&amp;"")</f>
        <v/>
      </c>
      <c r="D44" s="89" t="str">
        <f>IF($Y44="","",INDEX(tblSteps[担当],$Y44)&amp;"")</f>
        <v/>
      </c>
      <c r="E44" s="89" t="str">
        <f>IF($Y44="","",INDEX(tblSteps[状態],$Y44)&amp;"")</f>
        <v/>
      </c>
      <c r="F44" s="90" t="str">
        <f>IF($Y44="","",IF(ISNUMBER(INDEX(tblSteps[進捗率],$Y44)),INDEX(tblSteps[進捗率],$Y44),""))</f>
        <v/>
      </c>
      <c r="G44" s="91" t="str">
        <f>IF($Y44="","",IF(ISNUMBER(INDEX(tblSteps[計画開始日],$Y44)),INDEX(tblSteps[計画開始日],$Y44),"未入力"))</f>
        <v/>
      </c>
      <c r="H44" s="91" t="str">
        <f>IF($Y44="","",IF(ISNUMBER(INDEX(tblSteps[計画終了日],$Y44)),INDEX(tblSteps[計画終了日],$Y44),"未入力"))</f>
        <v/>
      </c>
      <c r="I44" s="91" t="str">
        <f>IF($Y44="","",IF(ISNUMBER(INDEX(tblSteps[完了見込日],$Y44)),INDEX(tblSteps[完了見込日],$Y44),""))</f>
        <v/>
      </c>
      <c r="J44" s="92" t="str">
        <f>IF($Y44="","",INDEX(tblSteps[注意短],$Y44)&amp;"")</f>
        <v/>
      </c>
      <c r="K44" s="93" t="str">
        <f>IF($Y44="","",IF(AND($AG44&gt;=K$6,$AG44&lt;=(K$6+6)),"◆",IF(AND($AE44&lt;=(K$6+6),$AF44&gt;=K$6),"遅",IF(AND($AC44&lt;=(K$6+6),$AD44&gt;=K$6),IF(AND($AA44&lt;=(K$6+6),$AB44&gt;=K$6),"実","外"),IF(AND($AA44&lt;=(K$6+6),$AB44&gt;=K$6),"計","")))))</f>
        <v/>
      </c>
      <c r="L44" s="93" t="str">
        <f>IF($Y44="","",IF(AND($AG44&gt;=L$6,$AG44&lt;=(L$6+6)),"◆",IF(AND($AE44&lt;=(L$6+6),$AF44&gt;=L$6),"遅",IF(AND($AC44&lt;=(L$6+6),$AD44&gt;=L$6),IF(AND($AA44&lt;=(L$6+6),$AB44&gt;=L$6),"実","外"),IF(AND($AA44&lt;=(L$6+6),$AB44&gt;=L$6),"計","")))))</f>
        <v/>
      </c>
      <c r="M44" s="93" t="str">
        <f>IF($Y44="","",IF(AND($AG44&gt;=M$6,$AG44&lt;=(M$6+6)),"◆",IF(AND($AE44&lt;=(M$6+6),$AF44&gt;=M$6),"遅",IF(AND($AC44&lt;=(M$6+6),$AD44&gt;=M$6),IF(AND($AA44&lt;=(M$6+6),$AB44&gt;=M$6),"実","外"),IF(AND($AA44&lt;=(M$6+6),$AB44&gt;=M$6),"計","")))))</f>
        <v/>
      </c>
      <c r="N44" s="93" t="str">
        <f>IF($Y44="","",IF(AND($AG44&gt;=N$6,$AG44&lt;=(N$6+6)),"◆",IF(AND($AE44&lt;=(N$6+6),$AF44&gt;=N$6),"遅",IF(AND($AC44&lt;=(N$6+6),$AD44&gt;=N$6),IF(AND($AA44&lt;=(N$6+6),$AB44&gt;=N$6),"実","外"),IF(AND($AA44&lt;=(N$6+6),$AB44&gt;=N$6),"計","")))))</f>
        <v/>
      </c>
      <c r="O44" s="93" t="str">
        <f>IF($Y44="","",IF(AND($AG44&gt;=O$6,$AG44&lt;=(O$6+6)),"◆",IF(AND($AE44&lt;=(O$6+6),$AF44&gt;=O$6),"遅",IF(AND($AC44&lt;=(O$6+6),$AD44&gt;=O$6),IF(AND($AA44&lt;=(O$6+6),$AB44&gt;=O$6),"実","外"),IF(AND($AA44&lt;=(O$6+6),$AB44&gt;=O$6),"計","")))))</f>
        <v/>
      </c>
      <c r="P44" s="93" t="str">
        <f>IF($Y44="","",IF(AND($AG44&gt;=P$6,$AG44&lt;=(P$6+6)),"◆",IF(AND($AE44&lt;=(P$6+6),$AF44&gt;=P$6),"遅",IF(AND($AC44&lt;=(P$6+6),$AD44&gt;=P$6),IF(AND($AA44&lt;=(P$6+6),$AB44&gt;=P$6),"実","外"),IF(AND($AA44&lt;=(P$6+6),$AB44&gt;=P$6),"計","")))))</f>
        <v/>
      </c>
      <c r="Q44" s="93" t="str">
        <f>IF($Y44="","",IF(AND($AG44&gt;=Q$6,$AG44&lt;=(Q$6+6)),"◆",IF(AND($AE44&lt;=(Q$6+6),$AF44&gt;=Q$6),"遅",IF(AND($AC44&lt;=(Q$6+6),$AD44&gt;=Q$6),IF(AND($AA44&lt;=(Q$6+6),$AB44&gt;=Q$6),"実","外"),IF(AND($AA44&lt;=(Q$6+6),$AB44&gt;=Q$6),"計","")))))</f>
        <v/>
      </c>
      <c r="R44" s="93" t="str">
        <f>IF($Y44="","",IF(AND($AG44&gt;=R$6,$AG44&lt;=(R$6+6)),"◆",IF(AND($AE44&lt;=(R$6+6),$AF44&gt;=R$6),"遅",IF(AND($AC44&lt;=(R$6+6),$AD44&gt;=R$6),IF(AND($AA44&lt;=(R$6+6),$AB44&gt;=R$6),"実","外"),IF(AND($AA44&lt;=(R$6+6),$AB44&gt;=R$6),"計","")))))</f>
        <v/>
      </c>
      <c r="S44" s="93" t="str">
        <f>IF($Y44="","",IF(AND($AG44&gt;=S$6,$AG44&lt;=(S$6+6)),"◆",IF(AND($AE44&lt;=(S$6+6),$AF44&gt;=S$6),"遅",IF(AND($AC44&lt;=(S$6+6),$AD44&gt;=S$6),IF(AND($AA44&lt;=(S$6+6),$AB44&gt;=S$6),"実","外"),IF(AND($AA44&lt;=(S$6+6),$AB44&gt;=S$6),"計","")))))</f>
        <v/>
      </c>
      <c r="T44" s="93" t="str">
        <f>IF($Y44="","",IF(AND($AG44&gt;=T$6,$AG44&lt;=(T$6+6)),"◆",IF(AND($AE44&lt;=(T$6+6),$AF44&gt;=T$6),"遅",IF(AND($AC44&lt;=(T$6+6),$AD44&gt;=T$6),IF(AND($AA44&lt;=(T$6+6),$AB44&gt;=T$6),"実","外"),IF(AND($AA44&lt;=(T$6+6),$AB44&gt;=T$6),"計","")))))</f>
        <v/>
      </c>
      <c r="U44" s="93" t="str">
        <f>IF($Y44="","",IF(AND($AG44&gt;=U$6,$AG44&lt;=(U$6+6)),"◆",IF(AND($AE44&lt;=(U$6+6),$AF44&gt;=U$6),"遅",IF(AND($AC44&lt;=(U$6+6),$AD44&gt;=U$6),IF(AND($AA44&lt;=(U$6+6),$AB44&gt;=U$6),"実","外"),IF(AND($AA44&lt;=(U$6+6),$AB44&gt;=U$6),"計","")))))</f>
        <v/>
      </c>
      <c r="V44" s="93" t="str">
        <f>IF($Y44="","",IF(AND($AG44&gt;=V$6,$AG44&lt;=(V$6+6)),"◆",IF(AND($AE44&lt;=(V$6+6),$AF44&gt;=V$6),"遅",IF(AND($AC44&lt;=(V$6+6),$AD44&gt;=V$6),IF(AND($AA44&lt;=(V$6+6),$AB44&gt;=V$6),"実","外"),IF(AND($AA44&lt;=(V$6+6),$AB44&gt;=V$6),"計","")))))</f>
        <v/>
      </c>
      <c r="W44" s="93" t="str">
        <f>IF($Y44="","",IF(AND($AG44&gt;=W$6,$AG44&lt;=(W$6+6)),"◆",IF(AND($AE44&lt;=(W$6+6),$AF44&gt;=W$6),"遅",IF(AND($AC44&lt;=(W$6+6),$AD44&gt;=W$6),IF(AND($AA44&lt;=(W$6+6),$AB44&gt;=W$6),"実","外"),IF(AND($AA44&lt;=(W$6+6),$AB44&gt;=W$6),"計","")))))</f>
        <v/>
      </c>
      <c r="Y44" t="str">
        <f>IF(37&gt;COUNTIF(tblSteps[週別対象],1),"",IFERROR(MATCH(37,tblSteps[週別順位],0),""))</f>
        <v/>
      </c>
      <c r="Z44" t="str">
        <f>IF($Y44="","",INDEX(tblSteps[案件ID],$Y44)&amp;"")</f>
        <v/>
      </c>
      <c r="AA44" t="str">
        <f>IF($Y44="","",INDEX(tblSteps[計開],$Y44))</f>
        <v/>
      </c>
      <c r="AB44" t="str">
        <f>IF($Y44="","",INDEX(tblSteps[計終],$Y44))</f>
        <v/>
      </c>
      <c r="AC44" t="str">
        <f>IF($Y44="","",INDEX(tblSteps[実開],$Y44))</f>
        <v/>
      </c>
      <c r="AD44" t="str">
        <f>IF($Y44="","",INDEX(tblSteps[実終],$Y44))</f>
        <v/>
      </c>
      <c r="AE44" t="str">
        <f>IF($Y44="","",INDEX(tblSteps[遅開],$Y44))</f>
        <v/>
      </c>
      <c r="AF44" t="str">
        <f>IF($Y44="","",INDEX(tblSteps[遅終],$Y44))</f>
        <v/>
      </c>
      <c r="AG44" t="str">
        <f>IF($Y44="","",INDEX(tblSteps[納期値],$Y44))</f>
        <v/>
      </c>
    </row>
    <row r="45" ht="18" customHeight="1">
      <c r="A45" s="89" t="str">
        <f>IF($Y45="","",INDEX(tblSteps[工程ID],$Y45)&amp;"")</f>
        <v/>
      </c>
      <c r="B45" s="88" t="str">
        <f>IF($Y45="","",IF($Z45=$Z44,"",$Z45&amp;" "&amp;INDEX(tblSteps[案件名],$Y45)))</f>
        <v/>
      </c>
      <c r="C45" s="88" t="str">
        <f>IF($Y45="","",INDEX(tblSteps[工程名],$Y45)&amp;"")</f>
        <v/>
      </c>
      <c r="D45" s="89" t="str">
        <f>IF($Y45="","",INDEX(tblSteps[担当],$Y45)&amp;"")</f>
        <v/>
      </c>
      <c r="E45" s="89" t="str">
        <f>IF($Y45="","",INDEX(tblSteps[状態],$Y45)&amp;"")</f>
        <v/>
      </c>
      <c r="F45" s="90" t="str">
        <f>IF($Y45="","",IF(ISNUMBER(INDEX(tblSteps[進捗率],$Y45)),INDEX(tblSteps[進捗率],$Y45),""))</f>
        <v/>
      </c>
      <c r="G45" s="91" t="str">
        <f>IF($Y45="","",IF(ISNUMBER(INDEX(tblSteps[計画開始日],$Y45)),INDEX(tblSteps[計画開始日],$Y45),"未入力"))</f>
        <v/>
      </c>
      <c r="H45" s="91" t="str">
        <f>IF($Y45="","",IF(ISNUMBER(INDEX(tblSteps[計画終了日],$Y45)),INDEX(tblSteps[計画終了日],$Y45),"未入力"))</f>
        <v/>
      </c>
      <c r="I45" s="91" t="str">
        <f>IF($Y45="","",IF(ISNUMBER(INDEX(tblSteps[完了見込日],$Y45)),INDEX(tblSteps[完了見込日],$Y45),""))</f>
        <v/>
      </c>
      <c r="J45" s="92" t="str">
        <f>IF($Y45="","",INDEX(tblSteps[注意短],$Y45)&amp;"")</f>
        <v/>
      </c>
      <c r="K45" s="93" t="str">
        <f>IF($Y45="","",IF(AND($AG45&gt;=K$6,$AG45&lt;=(K$6+6)),"◆",IF(AND($AE45&lt;=(K$6+6),$AF45&gt;=K$6),"遅",IF(AND($AC45&lt;=(K$6+6),$AD45&gt;=K$6),IF(AND($AA45&lt;=(K$6+6),$AB45&gt;=K$6),"実","外"),IF(AND($AA45&lt;=(K$6+6),$AB45&gt;=K$6),"計","")))))</f>
        <v/>
      </c>
      <c r="L45" s="93" t="str">
        <f>IF($Y45="","",IF(AND($AG45&gt;=L$6,$AG45&lt;=(L$6+6)),"◆",IF(AND($AE45&lt;=(L$6+6),$AF45&gt;=L$6),"遅",IF(AND($AC45&lt;=(L$6+6),$AD45&gt;=L$6),IF(AND($AA45&lt;=(L$6+6),$AB45&gt;=L$6),"実","外"),IF(AND($AA45&lt;=(L$6+6),$AB45&gt;=L$6),"計","")))))</f>
        <v/>
      </c>
      <c r="M45" s="93" t="str">
        <f>IF($Y45="","",IF(AND($AG45&gt;=M$6,$AG45&lt;=(M$6+6)),"◆",IF(AND($AE45&lt;=(M$6+6),$AF45&gt;=M$6),"遅",IF(AND($AC45&lt;=(M$6+6),$AD45&gt;=M$6),IF(AND($AA45&lt;=(M$6+6),$AB45&gt;=M$6),"実","外"),IF(AND($AA45&lt;=(M$6+6),$AB45&gt;=M$6),"計","")))))</f>
        <v/>
      </c>
      <c r="N45" s="93" t="str">
        <f>IF($Y45="","",IF(AND($AG45&gt;=N$6,$AG45&lt;=(N$6+6)),"◆",IF(AND($AE45&lt;=(N$6+6),$AF45&gt;=N$6),"遅",IF(AND($AC45&lt;=(N$6+6),$AD45&gt;=N$6),IF(AND($AA45&lt;=(N$6+6),$AB45&gt;=N$6),"実","外"),IF(AND($AA45&lt;=(N$6+6),$AB45&gt;=N$6),"計","")))))</f>
        <v/>
      </c>
      <c r="O45" s="93" t="str">
        <f>IF($Y45="","",IF(AND($AG45&gt;=O$6,$AG45&lt;=(O$6+6)),"◆",IF(AND($AE45&lt;=(O$6+6),$AF45&gt;=O$6),"遅",IF(AND($AC45&lt;=(O$6+6),$AD45&gt;=O$6),IF(AND($AA45&lt;=(O$6+6),$AB45&gt;=O$6),"実","外"),IF(AND($AA45&lt;=(O$6+6),$AB45&gt;=O$6),"計","")))))</f>
        <v/>
      </c>
      <c r="P45" s="93" t="str">
        <f>IF($Y45="","",IF(AND($AG45&gt;=P$6,$AG45&lt;=(P$6+6)),"◆",IF(AND($AE45&lt;=(P$6+6),$AF45&gt;=P$6),"遅",IF(AND($AC45&lt;=(P$6+6),$AD45&gt;=P$6),IF(AND($AA45&lt;=(P$6+6),$AB45&gt;=P$6),"実","外"),IF(AND($AA45&lt;=(P$6+6),$AB45&gt;=P$6),"計","")))))</f>
        <v/>
      </c>
      <c r="Q45" s="93" t="str">
        <f>IF($Y45="","",IF(AND($AG45&gt;=Q$6,$AG45&lt;=(Q$6+6)),"◆",IF(AND($AE45&lt;=(Q$6+6),$AF45&gt;=Q$6),"遅",IF(AND($AC45&lt;=(Q$6+6),$AD45&gt;=Q$6),IF(AND($AA45&lt;=(Q$6+6),$AB45&gt;=Q$6),"実","外"),IF(AND($AA45&lt;=(Q$6+6),$AB45&gt;=Q$6),"計","")))))</f>
        <v/>
      </c>
      <c r="R45" s="93" t="str">
        <f>IF($Y45="","",IF(AND($AG45&gt;=R$6,$AG45&lt;=(R$6+6)),"◆",IF(AND($AE45&lt;=(R$6+6),$AF45&gt;=R$6),"遅",IF(AND($AC45&lt;=(R$6+6),$AD45&gt;=R$6),IF(AND($AA45&lt;=(R$6+6),$AB45&gt;=R$6),"実","外"),IF(AND($AA45&lt;=(R$6+6),$AB45&gt;=R$6),"計","")))))</f>
        <v/>
      </c>
      <c r="S45" s="93" t="str">
        <f>IF($Y45="","",IF(AND($AG45&gt;=S$6,$AG45&lt;=(S$6+6)),"◆",IF(AND($AE45&lt;=(S$6+6),$AF45&gt;=S$6),"遅",IF(AND($AC45&lt;=(S$6+6),$AD45&gt;=S$6),IF(AND($AA45&lt;=(S$6+6),$AB45&gt;=S$6),"実","外"),IF(AND($AA45&lt;=(S$6+6),$AB45&gt;=S$6),"計","")))))</f>
        <v/>
      </c>
      <c r="T45" s="93" t="str">
        <f>IF($Y45="","",IF(AND($AG45&gt;=T$6,$AG45&lt;=(T$6+6)),"◆",IF(AND($AE45&lt;=(T$6+6),$AF45&gt;=T$6),"遅",IF(AND($AC45&lt;=(T$6+6),$AD45&gt;=T$6),IF(AND($AA45&lt;=(T$6+6),$AB45&gt;=T$6),"実","外"),IF(AND($AA45&lt;=(T$6+6),$AB45&gt;=T$6),"計","")))))</f>
        <v/>
      </c>
      <c r="U45" s="93" t="str">
        <f>IF($Y45="","",IF(AND($AG45&gt;=U$6,$AG45&lt;=(U$6+6)),"◆",IF(AND($AE45&lt;=(U$6+6),$AF45&gt;=U$6),"遅",IF(AND($AC45&lt;=(U$6+6),$AD45&gt;=U$6),IF(AND($AA45&lt;=(U$6+6),$AB45&gt;=U$6),"実","外"),IF(AND($AA45&lt;=(U$6+6),$AB45&gt;=U$6),"計","")))))</f>
        <v/>
      </c>
      <c r="V45" s="93" t="str">
        <f>IF($Y45="","",IF(AND($AG45&gt;=V$6,$AG45&lt;=(V$6+6)),"◆",IF(AND($AE45&lt;=(V$6+6),$AF45&gt;=V$6),"遅",IF(AND($AC45&lt;=(V$6+6),$AD45&gt;=V$6),IF(AND($AA45&lt;=(V$6+6),$AB45&gt;=V$6),"実","外"),IF(AND($AA45&lt;=(V$6+6),$AB45&gt;=V$6),"計","")))))</f>
        <v/>
      </c>
      <c r="W45" s="93" t="str">
        <f>IF($Y45="","",IF(AND($AG45&gt;=W$6,$AG45&lt;=(W$6+6)),"◆",IF(AND($AE45&lt;=(W$6+6),$AF45&gt;=W$6),"遅",IF(AND($AC45&lt;=(W$6+6),$AD45&gt;=W$6),IF(AND($AA45&lt;=(W$6+6),$AB45&gt;=W$6),"実","外"),IF(AND($AA45&lt;=(W$6+6),$AB45&gt;=W$6),"計","")))))</f>
        <v/>
      </c>
      <c r="Y45" t="str">
        <f>IF(38&gt;COUNTIF(tblSteps[週別対象],1),"",IFERROR(MATCH(38,tblSteps[週別順位],0),""))</f>
        <v/>
      </c>
      <c r="Z45" t="str">
        <f>IF($Y45="","",INDEX(tblSteps[案件ID],$Y45)&amp;"")</f>
        <v/>
      </c>
      <c r="AA45" t="str">
        <f>IF($Y45="","",INDEX(tblSteps[計開],$Y45))</f>
        <v/>
      </c>
      <c r="AB45" t="str">
        <f>IF($Y45="","",INDEX(tblSteps[計終],$Y45))</f>
        <v/>
      </c>
      <c r="AC45" t="str">
        <f>IF($Y45="","",INDEX(tblSteps[実開],$Y45))</f>
        <v/>
      </c>
      <c r="AD45" t="str">
        <f>IF($Y45="","",INDEX(tblSteps[実終],$Y45))</f>
        <v/>
      </c>
      <c r="AE45" t="str">
        <f>IF($Y45="","",INDEX(tblSteps[遅開],$Y45))</f>
        <v/>
      </c>
      <c r="AF45" t="str">
        <f>IF($Y45="","",INDEX(tblSteps[遅終],$Y45))</f>
        <v/>
      </c>
      <c r="AG45" t="str">
        <f>IF($Y45="","",INDEX(tblSteps[納期値],$Y45))</f>
        <v/>
      </c>
    </row>
    <row r="46" ht="18" customHeight="1">
      <c r="A46" s="89" t="str">
        <f>IF($Y46="","",INDEX(tblSteps[工程ID],$Y46)&amp;"")</f>
        <v/>
      </c>
      <c r="B46" s="88" t="str">
        <f>IF($Y46="","",IF($Z46=$Z45,"",$Z46&amp;" "&amp;INDEX(tblSteps[案件名],$Y46)))</f>
        <v/>
      </c>
      <c r="C46" s="88" t="str">
        <f>IF($Y46="","",INDEX(tblSteps[工程名],$Y46)&amp;"")</f>
        <v/>
      </c>
      <c r="D46" s="89" t="str">
        <f>IF($Y46="","",INDEX(tblSteps[担当],$Y46)&amp;"")</f>
        <v/>
      </c>
      <c r="E46" s="89" t="str">
        <f>IF($Y46="","",INDEX(tblSteps[状態],$Y46)&amp;"")</f>
        <v/>
      </c>
      <c r="F46" s="90" t="str">
        <f>IF($Y46="","",IF(ISNUMBER(INDEX(tblSteps[進捗率],$Y46)),INDEX(tblSteps[進捗率],$Y46),""))</f>
        <v/>
      </c>
      <c r="G46" s="91" t="str">
        <f>IF($Y46="","",IF(ISNUMBER(INDEX(tblSteps[計画開始日],$Y46)),INDEX(tblSteps[計画開始日],$Y46),"未入力"))</f>
        <v/>
      </c>
      <c r="H46" s="91" t="str">
        <f>IF($Y46="","",IF(ISNUMBER(INDEX(tblSteps[計画終了日],$Y46)),INDEX(tblSteps[計画終了日],$Y46),"未入力"))</f>
        <v/>
      </c>
      <c r="I46" s="91" t="str">
        <f>IF($Y46="","",IF(ISNUMBER(INDEX(tblSteps[完了見込日],$Y46)),INDEX(tblSteps[完了見込日],$Y46),""))</f>
        <v/>
      </c>
      <c r="J46" s="92" t="str">
        <f>IF($Y46="","",INDEX(tblSteps[注意短],$Y46)&amp;"")</f>
        <v/>
      </c>
      <c r="K46" s="93" t="str">
        <f>IF($Y46="","",IF(AND($AG46&gt;=K$6,$AG46&lt;=(K$6+6)),"◆",IF(AND($AE46&lt;=(K$6+6),$AF46&gt;=K$6),"遅",IF(AND($AC46&lt;=(K$6+6),$AD46&gt;=K$6),IF(AND($AA46&lt;=(K$6+6),$AB46&gt;=K$6),"実","外"),IF(AND($AA46&lt;=(K$6+6),$AB46&gt;=K$6),"計","")))))</f>
        <v/>
      </c>
      <c r="L46" s="93" t="str">
        <f>IF($Y46="","",IF(AND($AG46&gt;=L$6,$AG46&lt;=(L$6+6)),"◆",IF(AND($AE46&lt;=(L$6+6),$AF46&gt;=L$6),"遅",IF(AND($AC46&lt;=(L$6+6),$AD46&gt;=L$6),IF(AND($AA46&lt;=(L$6+6),$AB46&gt;=L$6),"実","外"),IF(AND($AA46&lt;=(L$6+6),$AB46&gt;=L$6),"計","")))))</f>
        <v/>
      </c>
      <c r="M46" s="93" t="str">
        <f>IF($Y46="","",IF(AND($AG46&gt;=M$6,$AG46&lt;=(M$6+6)),"◆",IF(AND($AE46&lt;=(M$6+6),$AF46&gt;=M$6),"遅",IF(AND($AC46&lt;=(M$6+6),$AD46&gt;=M$6),IF(AND($AA46&lt;=(M$6+6),$AB46&gt;=M$6),"実","外"),IF(AND($AA46&lt;=(M$6+6),$AB46&gt;=M$6),"計","")))))</f>
        <v/>
      </c>
      <c r="N46" s="93" t="str">
        <f>IF($Y46="","",IF(AND($AG46&gt;=N$6,$AG46&lt;=(N$6+6)),"◆",IF(AND($AE46&lt;=(N$6+6),$AF46&gt;=N$6),"遅",IF(AND($AC46&lt;=(N$6+6),$AD46&gt;=N$6),IF(AND($AA46&lt;=(N$6+6),$AB46&gt;=N$6),"実","外"),IF(AND($AA46&lt;=(N$6+6),$AB46&gt;=N$6),"計","")))))</f>
        <v/>
      </c>
      <c r="O46" s="93" t="str">
        <f>IF($Y46="","",IF(AND($AG46&gt;=O$6,$AG46&lt;=(O$6+6)),"◆",IF(AND($AE46&lt;=(O$6+6),$AF46&gt;=O$6),"遅",IF(AND($AC46&lt;=(O$6+6),$AD46&gt;=O$6),IF(AND($AA46&lt;=(O$6+6),$AB46&gt;=O$6),"実","外"),IF(AND($AA46&lt;=(O$6+6),$AB46&gt;=O$6),"計","")))))</f>
        <v/>
      </c>
      <c r="P46" s="93" t="str">
        <f>IF($Y46="","",IF(AND($AG46&gt;=P$6,$AG46&lt;=(P$6+6)),"◆",IF(AND($AE46&lt;=(P$6+6),$AF46&gt;=P$6),"遅",IF(AND($AC46&lt;=(P$6+6),$AD46&gt;=P$6),IF(AND($AA46&lt;=(P$6+6),$AB46&gt;=P$6),"実","外"),IF(AND($AA46&lt;=(P$6+6),$AB46&gt;=P$6),"計","")))))</f>
        <v/>
      </c>
      <c r="Q46" s="93" t="str">
        <f>IF($Y46="","",IF(AND($AG46&gt;=Q$6,$AG46&lt;=(Q$6+6)),"◆",IF(AND($AE46&lt;=(Q$6+6),$AF46&gt;=Q$6),"遅",IF(AND($AC46&lt;=(Q$6+6),$AD46&gt;=Q$6),IF(AND($AA46&lt;=(Q$6+6),$AB46&gt;=Q$6),"実","外"),IF(AND($AA46&lt;=(Q$6+6),$AB46&gt;=Q$6),"計","")))))</f>
        <v/>
      </c>
      <c r="R46" s="93" t="str">
        <f>IF($Y46="","",IF(AND($AG46&gt;=R$6,$AG46&lt;=(R$6+6)),"◆",IF(AND($AE46&lt;=(R$6+6),$AF46&gt;=R$6),"遅",IF(AND($AC46&lt;=(R$6+6),$AD46&gt;=R$6),IF(AND($AA46&lt;=(R$6+6),$AB46&gt;=R$6),"実","外"),IF(AND($AA46&lt;=(R$6+6),$AB46&gt;=R$6),"計","")))))</f>
        <v/>
      </c>
      <c r="S46" s="93" t="str">
        <f>IF($Y46="","",IF(AND($AG46&gt;=S$6,$AG46&lt;=(S$6+6)),"◆",IF(AND($AE46&lt;=(S$6+6),$AF46&gt;=S$6),"遅",IF(AND($AC46&lt;=(S$6+6),$AD46&gt;=S$6),IF(AND($AA46&lt;=(S$6+6),$AB46&gt;=S$6),"実","外"),IF(AND($AA46&lt;=(S$6+6),$AB46&gt;=S$6),"計","")))))</f>
        <v/>
      </c>
      <c r="T46" s="93" t="str">
        <f>IF($Y46="","",IF(AND($AG46&gt;=T$6,$AG46&lt;=(T$6+6)),"◆",IF(AND($AE46&lt;=(T$6+6),$AF46&gt;=T$6),"遅",IF(AND($AC46&lt;=(T$6+6),$AD46&gt;=T$6),IF(AND($AA46&lt;=(T$6+6),$AB46&gt;=T$6),"実","外"),IF(AND($AA46&lt;=(T$6+6),$AB46&gt;=T$6),"計","")))))</f>
        <v/>
      </c>
      <c r="U46" s="93" t="str">
        <f>IF($Y46="","",IF(AND($AG46&gt;=U$6,$AG46&lt;=(U$6+6)),"◆",IF(AND($AE46&lt;=(U$6+6),$AF46&gt;=U$6),"遅",IF(AND($AC46&lt;=(U$6+6),$AD46&gt;=U$6),IF(AND($AA46&lt;=(U$6+6),$AB46&gt;=U$6),"実","外"),IF(AND($AA46&lt;=(U$6+6),$AB46&gt;=U$6),"計","")))))</f>
        <v/>
      </c>
      <c r="V46" s="93" t="str">
        <f>IF($Y46="","",IF(AND($AG46&gt;=V$6,$AG46&lt;=(V$6+6)),"◆",IF(AND($AE46&lt;=(V$6+6),$AF46&gt;=V$6),"遅",IF(AND($AC46&lt;=(V$6+6),$AD46&gt;=V$6),IF(AND($AA46&lt;=(V$6+6),$AB46&gt;=V$6),"実","外"),IF(AND($AA46&lt;=(V$6+6),$AB46&gt;=V$6),"計","")))))</f>
        <v/>
      </c>
      <c r="W46" s="93" t="str">
        <f>IF($Y46="","",IF(AND($AG46&gt;=W$6,$AG46&lt;=(W$6+6)),"◆",IF(AND($AE46&lt;=(W$6+6),$AF46&gt;=W$6),"遅",IF(AND($AC46&lt;=(W$6+6),$AD46&gt;=W$6),IF(AND($AA46&lt;=(W$6+6),$AB46&gt;=W$6),"実","外"),IF(AND($AA46&lt;=(W$6+6),$AB46&gt;=W$6),"計","")))))</f>
        <v/>
      </c>
      <c r="Y46" t="str">
        <f>IF(39&gt;COUNTIF(tblSteps[週別対象],1),"",IFERROR(MATCH(39,tblSteps[週別順位],0),""))</f>
        <v/>
      </c>
      <c r="Z46" t="str">
        <f>IF($Y46="","",INDEX(tblSteps[案件ID],$Y46)&amp;"")</f>
        <v/>
      </c>
      <c r="AA46" t="str">
        <f>IF($Y46="","",INDEX(tblSteps[計開],$Y46))</f>
        <v/>
      </c>
      <c r="AB46" t="str">
        <f>IF($Y46="","",INDEX(tblSteps[計終],$Y46))</f>
        <v/>
      </c>
      <c r="AC46" t="str">
        <f>IF($Y46="","",INDEX(tblSteps[実開],$Y46))</f>
        <v/>
      </c>
      <c r="AD46" t="str">
        <f>IF($Y46="","",INDEX(tblSteps[実終],$Y46))</f>
        <v/>
      </c>
      <c r="AE46" t="str">
        <f>IF($Y46="","",INDEX(tblSteps[遅開],$Y46))</f>
        <v/>
      </c>
      <c r="AF46" t="str">
        <f>IF($Y46="","",INDEX(tblSteps[遅終],$Y46))</f>
        <v/>
      </c>
      <c r="AG46" t="str">
        <f>IF($Y46="","",INDEX(tblSteps[納期値],$Y46))</f>
        <v/>
      </c>
    </row>
    <row r="47" ht="18" customHeight="1">
      <c r="A47" s="89" t="str">
        <f>IF($Y47="","",INDEX(tblSteps[工程ID],$Y47)&amp;"")</f>
        <v/>
      </c>
      <c r="B47" s="88" t="str">
        <f>IF($Y47="","",IF($Z47=$Z46,"",$Z47&amp;" "&amp;INDEX(tblSteps[案件名],$Y47)))</f>
        <v/>
      </c>
      <c r="C47" s="88" t="str">
        <f>IF($Y47="","",INDEX(tblSteps[工程名],$Y47)&amp;"")</f>
        <v/>
      </c>
      <c r="D47" s="89" t="str">
        <f>IF($Y47="","",INDEX(tblSteps[担当],$Y47)&amp;"")</f>
        <v/>
      </c>
      <c r="E47" s="89" t="str">
        <f>IF($Y47="","",INDEX(tblSteps[状態],$Y47)&amp;"")</f>
        <v/>
      </c>
      <c r="F47" s="90" t="str">
        <f>IF($Y47="","",IF(ISNUMBER(INDEX(tblSteps[進捗率],$Y47)),INDEX(tblSteps[進捗率],$Y47),""))</f>
        <v/>
      </c>
      <c r="G47" s="91" t="str">
        <f>IF($Y47="","",IF(ISNUMBER(INDEX(tblSteps[計画開始日],$Y47)),INDEX(tblSteps[計画開始日],$Y47),"未入力"))</f>
        <v/>
      </c>
      <c r="H47" s="91" t="str">
        <f>IF($Y47="","",IF(ISNUMBER(INDEX(tblSteps[計画終了日],$Y47)),INDEX(tblSteps[計画終了日],$Y47),"未入力"))</f>
        <v/>
      </c>
      <c r="I47" s="91" t="str">
        <f>IF($Y47="","",IF(ISNUMBER(INDEX(tblSteps[完了見込日],$Y47)),INDEX(tblSteps[完了見込日],$Y47),""))</f>
        <v/>
      </c>
      <c r="J47" s="92" t="str">
        <f>IF($Y47="","",INDEX(tblSteps[注意短],$Y47)&amp;"")</f>
        <v/>
      </c>
      <c r="K47" s="93" t="str">
        <f>IF($Y47="","",IF(AND($AG47&gt;=K$6,$AG47&lt;=(K$6+6)),"◆",IF(AND($AE47&lt;=(K$6+6),$AF47&gt;=K$6),"遅",IF(AND($AC47&lt;=(K$6+6),$AD47&gt;=K$6),IF(AND($AA47&lt;=(K$6+6),$AB47&gt;=K$6),"実","外"),IF(AND($AA47&lt;=(K$6+6),$AB47&gt;=K$6),"計","")))))</f>
        <v/>
      </c>
      <c r="L47" s="93" t="str">
        <f>IF($Y47="","",IF(AND($AG47&gt;=L$6,$AG47&lt;=(L$6+6)),"◆",IF(AND($AE47&lt;=(L$6+6),$AF47&gt;=L$6),"遅",IF(AND($AC47&lt;=(L$6+6),$AD47&gt;=L$6),IF(AND($AA47&lt;=(L$6+6),$AB47&gt;=L$6),"実","外"),IF(AND($AA47&lt;=(L$6+6),$AB47&gt;=L$6),"計","")))))</f>
        <v/>
      </c>
      <c r="M47" s="93" t="str">
        <f>IF($Y47="","",IF(AND($AG47&gt;=M$6,$AG47&lt;=(M$6+6)),"◆",IF(AND($AE47&lt;=(M$6+6),$AF47&gt;=M$6),"遅",IF(AND($AC47&lt;=(M$6+6),$AD47&gt;=M$6),IF(AND($AA47&lt;=(M$6+6),$AB47&gt;=M$6),"実","外"),IF(AND($AA47&lt;=(M$6+6),$AB47&gt;=M$6),"計","")))))</f>
        <v/>
      </c>
      <c r="N47" s="93" t="str">
        <f>IF($Y47="","",IF(AND($AG47&gt;=N$6,$AG47&lt;=(N$6+6)),"◆",IF(AND($AE47&lt;=(N$6+6),$AF47&gt;=N$6),"遅",IF(AND($AC47&lt;=(N$6+6),$AD47&gt;=N$6),IF(AND($AA47&lt;=(N$6+6),$AB47&gt;=N$6),"実","外"),IF(AND($AA47&lt;=(N$6+6),$AB47&gt;=N$6),"計","")))))</f>
        <v/>
      </c>
      <c r="O47" s="93" t="str">
        <f>IF($Y47="","",IF(AND($AG47&gt;=O$6,$AG47&lt;=(O$6+6)),"◆",IF(AND($AE47&lt;=(O$6+6),$AF47&gt;=O$6),"遅",IF(AND($AC47&lt;=(O$6+6),$AD47&gt;=O$6),IF(AND($AA47&lt;=(O$6+6),$AB47&gt;=O$6),"実","外"),IF(AND($AA47&lt;=(O$6+6),$AB47&gt;=O$6),"計","")))))</f>
        <v/>
      </c>
      <c r="P47" s="93" t="str">
        <f>IF($Y47="","",IF(AND($AG47&gt;=P$6,$AG47&lt;=(P$6+6)),"◆",IF(AND($AE47&lt;=(P$6+6),$AF47&gt;=P$6),"遅",IF(AND($AC47&lt;=(P$6+6),$AD47&gt;=P$6),IF(AND($AA47&lt;=(P$6+6),$AB47&gt;=P$6),"実","外"),IF(AND($AA47&lt;=(P$6+6),$AB47&gt;=P$6),"計","")))))</f>
        <v/>
      </c>
      <c r="Q47" s="93" t="str">
        <f>IF($Y47="","",IF(AND($AG47&gt;=Q$6,$AG47&lt;=(Q$6+6)),"◆",IF(AND($AE47&lt;=(Q$6+6),$AF47&gt;=Q$6),"遅",IF(AND($AC47&lt;=(Q$6+6),$AD47&gt;=Q$6),IF(AND($AA47&lt;=(Q$6+6),$AB47&gt;=Q$6),"実","外"),IF(AND($AA47&lt;=(Q$6+6),$AB47&gt;=Q$6),"計","")))))</f>
        <v/>
      </c>
      <c r="R47" s="93" t="str">
        <f>IF($Y47="","",IF(AND($AG47&gt;=R$6,$AG47&lt;=(R$6+6)),"◆",IF(AND($AE47&lt;=(R$6+6),$AF47&gt;=R$6),"遅",IF(AND($AC47&lt;=(R$6+6),$AD47&gt;=R$6),IF(AND($AA47&lt;=(R$6+6),$AB47&gt;=R$6),"実","外"),IF(AND($AA47&lt;=(R$6+6),$AB47&gt;=R$6),"計","")))))</f>
        <v/>
      </c>
      <c r="S47" s="93" t="str">
        <f>IF($Y47="","",IF(AND($AG47&gt;=S$6,$AG47&lt;=(S$6+6)),"◆",IF(AND($AE47&lt;=(S$6+6),$AF47&gt;=S$6),"遅",IF(AND($AC47&lt;=(S$6+6),$AD47&gt;=S$6),IF(AND($AA47&lt;=(S$6+6),$AB47&gt;=S$6),"実","外"),IF(AND($AA47&lt;=(S$6+6),$AB47&gt;=S$6),"計","")))))</f>
        <v/>
      </c>
      <c r="T47" s="93" t="str">
        <f>IF($Y47="","",IF(AND($AG47&gt;=T$6,$AG47&lt;=(T$6+6)),"◆",IF(AND($AE47&lt;=(T$6+6),$AF47&gt;=T$6),"遅",IF(AND($AC47&lt;=(T$6+6),$AD47&gt;=T$6),IF(AND($AA47&lt;=(T$6+6),$AB47&gt;=T$6),"実","外"),IF(AND($AA47&lt;=(T$6+6),$AB47&gt;=T$6),"計","")))))</f>
        <v/>
      </c>
      <c r="U47" s="93" t="str">
        <f>IF($Y47="","",IF(AND($AG47&gt;=U$6,$AG47&lt;=(U$6+6)),"◆",IF(AND($AE47&lt;=(U$6+6),$AF47&gt;=U$6),"遅",IF(AND($AC47&lt;=(U$6+6),$AD47&gt;=U$6),IF(AND($AA47&lt;=(U$6+6),$AB47&gt;=U$6),"実","外"),IF(AND($AA47&lt;=(U$6+6),$AB47&gt;=U$6),"計","")))))</f>
        <v/>
      </c>
      <c r="V47" s="93" t="str">
        <f>IF($Y47="","",IF(AND($AG47&gt;=V$6,$AG47&lt;=(V$6+6)),"◆",IF(AND($AE47&lt;=(V$6+6),$AF47&gt;=V$6),"遅",IF(AND($AC47&lt;=(V$6+6),$AD47&gt;=V$6),IF(AND($AA47&lt;=(V$6+6),$AB47&gt;=V$6),"実","外"),IF(AND($AA47&lt;=(V$6+6),$AB47&gt;=V$6),"計","")))))</f>
        <v/>
      </c>
      <c r="W47" s="93" t="str">
        <f>IF($Y47="","",IF(AND($AG47&gt;=W$6,$AG47&lt;=(W$6+6)),"◆",IF(AND($AE47&lt;=(W$6+6),$AF47&gt;=W$6),"遅",IF(AND($AC47&lt;=(W$6+6),$AD47&gt;=W$6),IF(AND($AA47&lt;=(W$6+6),$AB47&gt;=W$6),"実","外"),IF(AND($AA47&lt;=(W$6+6),$AB47&gt;=W$6),"計","")))))</f>
        <v/>
      </c>
      <c r="Y47" t="str">
        <f>IF(40&gt;COUNTIF(tblSteps[週別対象],1),"",IFERROR(MATCH(40,tblSteps[週別順位],0),""))</f>
        <v/>
      </c>
      <c r="Z47" t="str">
        <f>IF($Y47="","",INDEX(tblSteps[案件ID],$Y47)&amp;"")</f>
        <v/>
      </c>
      <c r="AA47" t="str">
        <f>IF($Y47="","",INDEX(tblSteps[計開],$Y47))</f>
        <v/>
      </c>
      <c r="AB47" t="str">
        <f>IF($Y47="","",INDEX(tblSteps[計終],$Y47))</f>
        <v/>
      </c>
      <c r="AC47" t="str">
        <f>IF($Y47="","",INDEX(tblSteps[実開],$Y47))</f>
        <v/>
      </c>
      <c r="AD47" t="str">
        <f>IF($Y47="","",INDEX(tblSteps[実終],$Y47))</f>
        <v/>
      </c>
      <c r="AE47" t="str">
        <f>IF($Y47="","",INDEX(tblSteps[遅開],$Y47))</f>
        <v/>
      </c>
      <c r="AF47" t="str">
        <f>IF($Y47="","",INDEX(tblSteps[遅終],$Y47))</f>
        <v/>
      </c>
      <c r="AG47" t="str">
        <f>IF($Y47="","",INDEX(tblSteps[納期値],$Y47))</f>
        <v/>
      </c>
    </row>
    <row r="48" ht="18" customHeight="1">
      <c r="A48" s="89" t="str">
        <f>IF($Y48="","",INDEX(tblSteps[工程ID],$Y48)&amp;"")</f>
        <v/>
      </c>
      <c r="B48" s="88" t="str">
        <f>IF($Y48="","",IF($Z48=$Z47,"",$Z48&amp;" "&amp;INDEX(tblSteps[案件名],$Y48)))</f>
        <v/>
      </c>
      <c r="C48" s="88" t="str">
        <f>IF($Y48="","",INDEX(tblSteps[工程名],$Y48)&amp;"")</f>
        <v/>
      </c>
      <c r="D48" s="89" t="str">
        <f>IF($Y48="","",INDEX(tblSteps[担当],$Y48)&amp;"")</f>
        <v/>
      </c>
      <c r="E48" s="89" t="str">
        <f>IF($Y48="","",INDEX(tblSteps[状態],$Y48)&amp;"")</f>
        <v/>
      </c>
      <c r="F48" s="90" t="str">
        <f>IF($Y48="","",IF(ISNUMBER(INDEX(tblSteps[進捗率],$Y48)),INDEX(tblSteps[進捗率],$Y48),""))</f>
        <v/>
      </c>
      <c r="G48" s="91" t="str">
        <f>IF($Y48="","",IF(ISNUMBER(INDEX(tblSteps[計画開始日],$Y48)),INDEX(tblSteps[計画開始日],$Y48),"未入力"))</f>
        <v/>
      </c>
      <c r="H48" s="91" t="str">
        <f>IF($Y48="","",IF(ISNUMBER(INDEX(tblSteps[計画終了日],$Y48)),INDEX(tblSteps[計画終了日],$Y48),"未入力"))</f>
        <v/>
      </c>
      <c r="I48" s="91" t="str">
        <f>IF($Y48="","",IF(ISNUMBER(INDEX(tblSteps[完了見込日],$Y48)),INDEX(tblSteps[完了見込日],$Y48),""))</f>
        <v/>
      </c>
      <c r="J48" s="92" t="str">
        <f>IF($Y48="","",INDEX(tblSteps[注意短],$Y48)&amp;"")</f>
        <v/>
      </c>
      <c r="K48" s="93" t="str">
        <f>IF($Y48="","",IF(AND($AG48&gt;=K$6,$AG48&lt;=(K$6+6)),"◆",IF(AND($AE48&lt;=(K$6+6),$AF48&gt;=K$6),"遅",IF(AND($AC48&lt;=(K$6+6),$AD48&gt;=K$6),IF(AND($AA48&lt;=(K$6+6),$AB48&gt;=K$6),"実","外"),IF(AND($AA48&lt;=(K$6+6),$AB48&gt;=K$6),"計","")))))</f>
        <v/>
      </c>
      <c r="L48" s="93" t="str">
        <f>IF($Y48="","",IF(AND($AG48&gt;=L$6,$AG48&lt;=(L$6+6)),"◆",IF(AND($AE48&lt;=(L$6+6),$AF48&gt;=L$6),"遅",IF(AND($AC48&lt;=(L$6+6),$AD48&gt;=L$6),IF(AND($AA48&lt;=(L$6+6),$AB48&gt;=L$6),"実","外"),IF(AND($AA48&lt;=(L$6+6),$AB48&gt;=L$6),"計","")))))</f>
        <v/>
      </c>
      <c r="M48" s="93" t="str">
        <f>IF($Y48="","",IF(AND($AG48&gt;=M$6,$AG48&lt;=(M$6+6)),"◆",IF(AND($AE48&lt;=(M$6+6),$AF48&gt;=M$6),"遅",IF(AND($AC48&lt;=(M$6+6),$AD48&gt;=M$6),IF(AND($AA48&lt;=(M$6+6),$AB48&gt;=M$6),"実","外"),IF(AND($AA48&lt;=(M$6+6),$AB48&gt;=M$6),"計","")))))</f>
        <v/>
      </c>
      <c r="N48" s="93" t="str">
        <f>IF($Y48="","",IF(AND($AG48&gt;=N$6,$AG48&lt;=(N$6+6)),"◆",IF(AND($AE48&lt;=(N$6+6),$AF48&gt;=N$6),"遅",IF(AND($AC48&lt;=(N$6+6),$AD48&gt;=N$6),IF(AND($AA48&lt;=(N$6+6),$AB48&gt;=N$6),"実","外"),IF(AND($AA48&lt;=(N$6+6),$AB48&gt;=N$6),"計","")))))</f>
        <v/>
      </c>
      <c r="O48" s="93" t="str">
        <f>IF($Y48="","",IF(AND($AG48&gt;=O$6,$AG48&lt;=(O$6+6)),"◆",IF(AND($AE48&lt;=(O$6+6),$AF48&gt;=O$6),"遅",IF(AND($AC48&lt;=(O$6+6),$AD48&gt;=O$6),IF(AND($AA48&lt;=(O$6+6),$AB48&gt;=O$6),"実","外"),IF(AND($AA48&lt;=(O$6+6),$AB48&gt;=O$6),"計","")))))</f>
        <v/>
      </c>
      <c r="P48" s="93" t="str">
        <f>IF($Y48="","",IF(AND($AG48&gt;=P$6,$AG48&lt;=(P$6+6)),"◆",IF(AND($AE48&lt;=(P$6+6),$AF48&gt;=P$6),"遅",IF(AND($AC48&lt;=(P$6+6),$AD48&gt;=P$6),IF(AND($AA48&lt;=(P$6+6),$AB48&gt;=P$6),"実","外"),IF(AND($AA48&lt;=(P$6+6),$AB48&gt;=P$6),"計","")))))</f>
        <v/>
      </c>
      <c r="Q48" s="93" t="str">
        <f>IF($Y48="","",IF(AND($AG48&gt;=Q$6,$AG48&lt;=(Q$6+6)),"◆",IF(AND($AE48&lt;=(Q$6+6),$AF48&gt;=Q$6),"遅",IF(AND($AC48&lt;=(Q$6+6),$AD48&gt;=Q$6),IF(AND($AA48&lt;=(Q$6+6),$AB48&gt;=Q$6),"実","外"),IF(AND($AA48&lt;=(Q$6+6),$AB48&gt;=Q$6),"計","")))))</f>
        <v/>
      </c>
      <c r="R48" s="93" t="str">
        <f>IF($Y48="","",IF(AND($AG48&gt;=R$6,$AG48&lt;=(R$6+6)),"◆",IF(AND($AE48&lt;=(R$6+6),$AF48&gt;=R$6),"遅",IF(AND($AC48&lt;=(R$6+6),$AD48&gt;=R$6),IF(AND($AA48&lt;=(R$6+6),$AB48&gt;=R$6),"実","外"),IF(AND($AA48&lt;=(R$6+6),$AB48&gt;=R$6),"計","")))))</f>
        <v/>
      </c>
      <c r="S48" s="93" t="str">
        <f>IF($Y48="","",IF(AND($AG48&gt;=S$6,$AG48&lt;=(S$6+6)),"◆",IF(AND($AE48&lt;=(S$6+6),$AF48&gt;=S$6),"遅",IF(AND($AC48&lt;=(S$6+6),$AD48&gt;=S$6),IF(AND($AA48&lt;=(S$6+6),$AB48&gt;=S$6),"実","外"),IF(AND($AA48&lt;=(S$6+6),$AB48&gt;=S$6),"計","")))))</f>
        <v/>
      </c>
      <c r="T48" s="93" t="str">
        <f>IF($Y48="","",IF(AND($AG48&gt;=T$6,$AG48&lt;=(T$6+6)),"◆",IF(AND($AE48&lt;=(T$6+6),$AF48&gt;=T$6),"遅",IF(AND($AC48&lt;=(T$6+6),$AD48&gt;=T$6),IF(AND($AA48&lt;=(T$6+6),$AB48&gt;=T$6),"実","外"),IF(AND($AA48&lt;=(T$6+6),$AB48&gt;=T$6),"計","")))))</f>
        <v/>
      </c>
      <c r="U48" s="93" t="str">
        <f>IF($Y48="","",IF(AND($AG48&gt;=U$6,$AG48&lt;=(U$6+6)),"◆",IF(AND($AE48&lt;=(U$6+6),$AF48&gt;=U$6),"遅",IF(AND($AC48&lt;=(U$6+6),$AD48&gt;=U$6),IF(AND($AA48&lt;=(U$6+6),$AB48&gt;=U$6),"実","外"),IF(AND($AA48&lt;=(U$6+6),$AB48&gt;=U$6),"計","")))))</f>
        <v/>
      </c>
      <c r="V48" s="93" t="str">
        <f>IF($Y48="","",IF(AND($AG48&gt;=V$6,$AG48&lt;=(V$6+6)),"◆",IF(AND($AE48&lt;=(V$6+6),$AF48&gt;=V$6),"遅",IF(AND($AC48&lt;=(V$6+6),$AD48&gt;=V$6),IF(AND($AA48&lt;=(V$6+6),$AB48&gt;=V$6),"実","外"),IF(AND($AA48&lt;=(V$6+6),$AB48&gt;=V$6),"計","")))))</f>
        <v/>
      </c>
      <c r="W48" s="93" t="str">
        <f>IF($Y48="","",IF(AND($AG48&gt;=W$6,$AG48&lt;=(W$6+6)),"◆",IF(AND($AE48&lt;=(W$6+6),$AF48&gt;=W$6),"遅",IF(AND($AC48&lt;=(W$6+6),$AD48&gt;=W$6),IF(AND($AA48&lt;=(W$6+6),$AB48&gt;=W$6),"実","外"),IF(AND($AA48&lt;=(W$6+6),$AB48&gt;=W$6),"計","")))))</f>
        <v/>
      </c>
      <c r="Y48" t="str">
        <f>IF(41&gt;COUNTIF(tblSteps[週別対象],1),"",IFERROR(MATCH(41,tblSteps[週別順位],0),""))</f>
        <v/>
      </c>
      <c r="Z48" t="str">
        <f>IF($Y48="","",INDEX(tblSteps[案件ID],$Y48)&amp;"")</f>
        <v/>
      </c>
      <c r="AA48" t="str">
        <f>IF($Y48="","",INDEX(tblSteps[計開],$Y48))</f>
        <v/>
      </c>
      <c r="AB48" t="str">
        <f>IF($Y48="","",INDEX(tblSteps[計終],$Y48))</f>
        <v/>
      </c>
      <c r="AC48" t="str">
        <f>IF($Y48="","",INDEX(tblSteps[実開],$Y48))</f>
        <v/>
      </c>
      <c r="AD48" t="str">
        <f>IF($Y48="","",INDEX(tblSteps[実終],$Y48))</f>
        <v/>
      </c>
      <c r="AE48" t="str">
        <f>IF($Y48="","",INDEX(tblSteps[遅開],$Y48))</f>
        <v/>
      </c>
      <c r="AF48" t="str">
        <f>IF($Y48="","",INDEX(tblSteps[遅終],$Y48))</f>
        <v/>
      </c>
      <c r="AG48" t="str">
        <f>IF($Y48="","",INDEX(tblSteps[納期値],$Y48))</f>
        <v/>
      </c>
    </row>
    <row r="49" ht="18" customHeight="1">
      <c r="A49" s="89" t="str">
        <f>IF($Y49="","",INDEX(tblSteps[工程ID],$Y49)&amp;"")</f>
        <v/>
      </c>
      <c r="B49" s="88" t="str">
        <f>IF($Y49="","",IF($Z49=$Z48,"",$Z49&amp;" "&amp;INDEX(tblSteps[案件名],$Y49)))</f>
        <v/>
      </c>
      <c r="C49" s="88" t="str">
        <f>IF($Y49="","",INDEX(tblSteps[工程名],$Y49)&amp;"")</f>
        <v/>
      </c>
      <c r="D49" s="89" t="str">
        <f>IF($Y49="","",INDEX(tblSteps[担当],$Y49)&amp;"")</f>
        <v/>
      </c>
      <c r="E49" s="89" t="str">
        <f>IF($Y49="","",INDEX(tblSteps[状態],$Y49)&amp;"")</f>
        <v/>
      </c>
      <c r="F49" s="90" t="str">
        <f>IF($Y49="","",IF(ISNUMBER(INDEX(tblSteps[進捗率],$Y49)),INDEX(tblSteps[進捗率],$Y49),""))</f>
        <v/>
      </c>
      <c r="G49" s="91" t="str">
        <f>IF($Y49="","",IF(ISNUMBER(INDEX(tblSteps[計画開始日],$Y49)),INDEX(tblSteps[計画開始日],$Y49),"未入力"))</f>
        <v/>
      </c>
      <c r="H49" s="91" t="str">
        <f>IF($Y49="","",IF(ISNUMBER(INDEX(tblSteps[計画終了日],$Y49)),INDEX(tblSteps[計画終了日],$Y49),"未入力"))</f>
        <v/>
      </c>
      <c r="I49" s="91" t="str">
        <f>IF($Y49="","",IF(ISNUMBER(INDEX(tblSteps[完了見込日],$Y49)),INDEX(tblSteps[完了見込日],$Y49),""))</f>
        <v/>
      </c>
      <c r="J49" s="92" t="str">
        <f>IF($Y49="","",INDEX(tblSteps[注意短],$Y49)&amp;"")</f>
        <v/>
      </c>
      <c r="K49" s="93" t="str">
        <f>IF($Y49="","",IF(AND($AG49&gt;=K$6,$AG49&lt;=(K$6+6)),"◆",IF(AND($AE49&lt;=(K$6+6),$AF49&gt;=K$6),"遅",IF(AND($AC49&lt;=(K$6+6),$AD49&gt;=K$6),IF(AND($AA49&lt;=(K$6+6),$AB49&gt;=K$6),"実","外"),IF(AND($AA49&lt;=(K$6+6),$AB49&gt;=K$6),"計","")))))</f>
        <v/>
      </c>
      <c r="L49" s="93" t="str">
        <f>IF($Y49="","",IF(AND($AG49&gt;=L$6,$AG49&lt;=(L$6+6)),"◆",IF(AND($AE49&lt;=(L$6+6),$AF49&gt;=L$6),"遅",IF(AND($AC49&lt;=(L$6+6),$AD49&gt;=L$6),IF(AND($AA49&lt;=(L$6+6),$AB49&gt;=L$6),"実","外"),IF(AND($AA49&lt;=(L$6+6),$AB49&gt;=L$6),"計","")))))</f>
        <v/>
      </c>
      <c r="M49" s="93" t="str">
        <f>IF($Y49="","",IF(AND($AG49&gt;=M$6,$AG49&lt;=(M$6+6)),"◆",IF(AND($AE49&lt;=(M$6+6),$AF49&gt;=M$6),"遅",IF(AND($AC49&lt;=(M$6+6),$AD49&gt;=M$6),IF(AND($AA49&lt;=(M$6+6),$AB49&gt;=M$6),"実","外"),IF(AND($AA49&lt;=(M$6+6),$AB49&gt;=M$6),"計","")))))</f>
        <v/>
      </c>
      <c r="N49" s="93" t="str">
        <f>IF($Y49="","",IF(AND($AG49&gt;=N$6,$AG49&lt;=(N$6+6)),"◆",IF(AND($AE49&lt;=(N$6+6),$AF49&gt;=N$6),"遅",IF(AND($AC49&lt;=(N$6+6),$AD49&gt;=N$6),IF(AND($AA49&lt;=(N$6+6),$AB49&gt;=N$6),"実","外"),IF(AND($AA49&lt;=(N$6+6),$AB49&gt;=N$6),"計","")))))</f>
        <v/>
      </c>
      <c r="O49" s="93" t="str">
        <f>IF($Y49="","",IF(AND($AG49&gt;=O$6,$AG49&lt;=(O$6+6)),"◆",IF(AND($AE49&lt;=(O$6+6),$AF49&gt;=O$6),"遅",IF(AND($AC49&lt;=(O$6+6),$AD49&gt;=O$6),IF(AND($AA49&lt;=(O$6+6),$AB49&gt;=O$6),"実","外"),IF(AND($AA49&lt;=(O$6+6),$AB49&gt;=O$6),"計","")))))</f>
        <v/>
      </c>
      <c r="P49" s="93" t="str">
        <f>IF($Y49="","",IF(AND($AG49&gt;=P$6,$AG49&lt;=(P$6+6)),"◆",IF(AND($AE49&lt;=(P$6+6),$AF49&gt;=P$6),"遅",IF(AND($AC49&lt;=(P$6+6),$AD49&gt;=P$6),IF(AND($AA49&lt;=(P$6+6),$AB49&gt;=P$6),"実","外"),IF(AND($AA49&lt;=(P$6+6),$AB49&gt;=P$6),"計","")))))</f>
        <v/>
      </c>
      <c r="Q49" s="93" t="str">
        <f>IF($Y49="","",IF(AND($AG49&gt;=Q$6,$AG49&lt;=(Q$6+6)),"◆",IF(AND($AE49&lt;=(Q$6+6),$AF49&gt;=Q$6),"遅",IF(AND($AC49&lt;=(Q$6+6),$AD49&gt;=Q$6),IF(AND($AA49&lt;=(Q$6+6),$AB49&gt;=Q$6),"実","外"),IF(AND($AA49&lt;=(Q$6+6),$AB49&gt;=Q$6),"計","")))))</f>
        <v/>
      </c>
      <c r="R49" s="93" t="str">
        <f>IF($Y49="","",IF(AND($AG49&gt;=R$6,$AG49&lt;=(R$6+6)),"◆",IF(AND($AE49&lt;=(R$6+6),$AF49&gt;=R$6),"遅",IF(AND($AC49&lt;=(R$6+6),$AD49&gt;=R$6),IF(AND($AA49&lt;=(R$6+6),$AB49&gt;=R$6),"実","外"),IF(AND($AA49&lt;=(R$6+6),$AB49&gt;=R$6),"計","")))))</f>
        <v/>
      </c>
      <c r="S49" s="93" t="str">
        <f>IF($Y49="","",IF(AND($AG49&gt;=S$6,$AG49&lt;=(S$6+6)),"◆",IF(AND($AE49&lt;=(S$6+6),$AF49&gt;=S$6),"遅",IF(AND($AC49&lt;=(S$6+6),$AD49&gt;=S$6),IF(AND($AA49&lt;=(S$6+6),$AB49&gt;=S$6),"実","外"),IF(AND($AA49&lt;=(S$6+6),$AB49&gt;=S$6),"計","")))))</f>
        <v/>
      </c>
      <c r="T49" s="93" t="str">
        <f>IF($Y49="","",IF(AND($AG49&gt;=T$6,$AG49&lt;=(T$6+6)),"◆",IF(AND($AE49&lt;=(T$6+6),$AF49&gt;=T$6),"遅",IF(AND($AC49&lt;=(T$6+6),$AD49&gt;=T$6),IF(AND($AA49&lt;=(T$6+6),$AB49&gt;=T$6),"実","外"),IF(AND($AA49&lt;=(T$6+6),$AB49&gt;=T$6),"計","")))))</f>
        <v/>
      </c>
      <c r="U49" s="93" t="str">
        <f>IF($Y49="","",IF(AND($AG49&gt;=U$6,$AG49&lt;=(U$6+6)),"◆",IF(AND($AE49&lt;=(U$6+6),$AF49&gt;=U$6),"遅",IF(AND($AC49&lt;=(U$6+6),$AD49&gt;=U$6),IF(AND($AA49&lt;=(U$6+6),$AB49&gt;=U$6),"実","外"),IF(AND($AA49&lt;=(U$6+6),$AB49&gt;=U$6),"計","")))))</f>
        <v/>
      </c>
      <c r="V49" s="93" t="str">
        <f>IF($Y49="","",IF(AND($AG49&gt;=V$6,$AG49&lt;=(V$6+6)),"◆",IF(AND($AE49&lt;=(V$6+6),$AF49&gt;=V$6),"遅",IF(AND($AC49&lt;=(V$6+6),$AD49&gt;=V$6),IF(AND($AA49&lt;=(V$6+6),$AB49&gt;=V$6),"実","外"),IF(AND($AA49&lt;=(V$6+6),$AB49&gt;=V$6),"計","")))))</f>
        <v/>
      </c>
      <c r="W49" s="93" t="str">
        <f>IF($Y49="","",IF(AND($AG49&gt;=W$6,$AG49&lt;=(W$6+6)),"◆",IF(AND($AE49&lt;=(W$6+6),$AF49&gt;=W$6),"遅",IF(AND($AC49&lt;=(W$6+6),$AD49&gt;=W$6),IF(AND($AA49&lt;=(W$6+6),$AB49&gt;=W$6),"実","外"),IF(AND($AA49&lt;=(W$6+6),$AB49&gt;=W$6),"計","")))))</f>
        <v/>
      </c>
      <c r="Y49" t="str">
        <f>IF(42&gt;COUNTIF(tblSteps[週別対象],1),"",IFERROR(MATCH(42,tblSteps[週別順位],0),""))</f>
        <v/>
      </c>
      <c r="Z49" t="str">
        <f>IF($Y49="","",INDEX(tblSteps[案件ID],$Y49)&amp;"")</f>
        <v/>
      </c>
      <c r="AA49" t="str">
        <f>IF($Y49="","",INDEX(tblSteps[計開],$Y49))</f>
        <v/>
      </c>
      <c r="AB49" t="str">
        <f>IF($Y49="","",INDEX(tblSteps[計終],$Y49))</f>
        <v/>
      </c>
      <c r="AC49" t="str">
        <f>IF($Y49="","",INDEX(tblSteps[実開],$Y49))</f>
        <v/>
      </c>
      <c r="AD49" t="str">
        <f>IF($Y49="","",INDEX(tblSteps[実終],$Y49))</f>
        <v/>
      </c>
      <c r="AE49" t="str">
        <f>IF($Y49="","",INDEX(tblSteps[遅開],$Y49))</f>
        <v/>
      </c>
      <c r="AF49" t="str">
        <f>IF($Y49="","",INDEX(tblSteps[遅終],$Y49))</f>
        <v/>
      </c>
      <c r="AG49" t="str">
        <f>IF($Y49="","",INDEX(tblSteps[納期値],$Y49))</f>
        <v/>
      </c>
    </row>
    <row r="50" ht="18" customHeight="1">
      <c r="A50" s="89" t="str">
        <f>IF($Y50="","",INDEX(tblSteps[工程ID],$Y50)&amp;"")</f>
        <v/>
      </c>
      <c r="B50" s="88" t="str">
        <f>IF($Y50="","",IF($Z50=$Z49,"",$Z50&amp;" "&amp;INDEX(tblSteps[案件名],$Y50)))</f>
        <v/>
      </c>
      <c r="C50" s="88" t="str">
        <f>IF($Y50="","",INDEX(tblSteps[工程名],$Y50)&amp;"")</f>
        <v/>
      </c>
      <c r="D50" s="89" t="str">
        <f>IF($Y50="","",INDEX(tblSteps[担当],$Y50)&amp;"")</f>
        <v/>
      </c>
      <c r="E50" s="89" t="str">
        <f>IF($Y50="","",INDEX(tblSteps[状態],$Y50)&amp;"")</f>
        <v/>
      </c>
      <c r="F50" s="90" t="str">
        <f>IF($Y50="","",IF(ISNUMBER(INDEX(tblSteps[進捗率],$Y50)),INDEX(tblSteps[進捗率],$Y50),""))</f>
        <v/>
      </c>
      <c r="G50" s="91" t="str">
        <f>IF($Y50="","",IF(ISNUMBER(INDEX(tblSteps[計画開始日],$Y50)),INDEX(tblSteps[計画開始日],$Y50),"未入力"))</f>
        <v/>
      </c>
      <c r="H50" s="91" t="str">
        <f>IF($Y50="","",IF(ISNUMBER(INDEX(tblSteps[計画終了日],$Y50)),INDEX(tblSteps[計画終了日],$Y50),"未入力"))</f>
        <v/>
      </c>
      <c r="I50" s="91" t="str">
        <f>IF($Y50="","",IF(ISNUMBER(INDEX(tblSteps[完了見込日],$Y50)),INDEX(tblSteps[完了見込日],$Y50),""))</f>
        <v/>
      </c>
      <c r="J50" s="92" t="str">
        <f>IF($Y50="","",INDEX(tblSteps[注意短],$Y50)&amp;"")</f>
        <v/>
      </c>
      <c r="K50" s="93" t="str">
        <f>IF($Y50="","",IF(AND($AG50&gt;=K$6,$AG50&lt;=(K$6+6)),"◆",IF(AND($AE50&lt;=(K$6+6),$AF50&gt;=K$6),"遅",IF(AND($AC50&lt;=(K$6+6),$AD50&gt;=K$6),IF(AND($AA50&lt;=(K$6+6),$AB50&gt;=K$6),"実","外"),IF(AND($AA50&lt;=(K$6+6),$AB50&gt;=K$6),"計","")))))</f>
        <v/>
      </c>
      <c r="L50" s="93" t="str">
        <f>IF($Y50="","",IF(AND($AG50&gt;=L$6,$AG50&lt;=(L$6+6)),"◆",IF(AND($AE50&lt;=(L$6+6),$AF50&gt;=L$6),"遅",IF(AND($AC50&lt;=(L$6+6),$AD50&gt;=L$6),IF(AND($AA50&lt;=(L$6+6),$AB50&gt;=L$6),"実","外"),IF(AND($AA50&lt;=(L$6+6),$AB50&gt;=L$6),"計","")))))</f>
        <v/>
      </c>
      <c r="M50" s="93" t="str">
        <f>IF($Y50="","",IF(AND($AG50&gt;=M$6,$AG50&lt;=(M$6+6)),"◆",IF(AND($AE50&lt;=(M$6+6),$AF50&gt;=M$6),"遅",IF(AND($AC50&lt;=(M$6+6),$AD50&gt;=M$6),IF(AND($AA50&lt;=(M$6+6),$AB50&gt;=M$6),"実","外"),IF(AND($AA50&lt;=(M$6+6),$AB50&gt;=M$6),"計","")))))</f>
        <v/>
      </c>
      <c r="N50" s="93" t="str">
        <f>IF($Y50="","",IF(AND($AG50&gt;=N$6,$AG50&lt;=(N$6+6)),"◆",IF(AND($AE50&lt;=(N$6+6),$AF50&gt;=N$6),"遅",IF(AND($AC50&lt;=(N$6+6),$AD50&gt;=N$6),IF(AND($AA50&lt;=(N$6+6),$AB50&gt;=N$6),"実","外"),IF(AND($AA50&lt;=(N$6+6),$AB50&gt;=N$6),"計","")))))</f>
        <v/>
      </c>
      <c r="O50" s="93" t="str">
        <f>IF($Y50="","",IF(AND($AG50&gt;=O$6,$AG50&lt;=(O$6+6)),"◆",IF(AND($AE50&lt;=(O$6+6),$AF50&gt;=O$6),"遅",IF(AND($AC50&lt;=(O$6+6),$AD50&gt;=O$6),IF(AND($AA50&lt;=(O$6+6),$AB50&gt;=O$6),"実","外"),IF(AND($AA50&lt;=(O$6+6),$AB50&gt;=O$6),"計","")))))</f>
        <v/>
      </c>
      <c r="P50" s="93" t="str">
        <f>IF($Y50="","",IF(AND($AG50&gt;=P$6,$AG50&lt;=(P$6+6)),"◆",IF(AND($AE50&lt;=(P$6+6),$AF50&gt;=P$6),"遅",IF(AND($AC50&lt;=(P$6+6),$AD50&gt;=P$6),IF(AND($AA50&lt;=(P$6+6),$AB50&gt;=P$6),"実","外"),IF(AND($AA50&lt;=(P$6+6),$AB50&gt;=P$6),"計","")))))</f>
        <v/>
      </c>
      <c r="Q50" s="93" t="str">
        <f>IF($Y50="","",IF(AND($AG50&gt;=Q$6,$AG50&lt;=(Q$6+6)),"◆",IF(AND($AE50&lt;=(Q$6+6),$AF50&gt;=Q$6),"遅",IF(AND($AC50&lt;=(Q$6+6),$AD50&gt;=Q$6),IF(AND($AA50&lt;=(Q$6+6),$AB50&gt;=Q$6),"実","外"),IF(AND($AA50&lt;=(Q$6+6),$AB50&gt;=Q$6),"計","")))))</f>
        <v/>
      </c>
      <c r="R50" s="93" t="str">
        <f>IF($Y50="","",IF(AND($AG50&gt;=R$6,$AG50&lt;=(R$6+6)),"◆",IF(AND($AE50&lt;=(R$6+6),$AF50&gt;=R$6),"遅",IF(AND($AC50&lt;=(R$6+6),$AD50&gt;=R$6),IF(AND($AA50&lt;=(R$6+6),$AB50&gt;=R$6),"実","外"),IF(AND($AA50&lt;=(R$6+6),$AB50&gt;=R$6),"計","")))))</f>
        <v/>
      </c>
      <c r="S50" s="93" t="str">
        <f>IF($Y50="","",IF(AND($AG50&gt;=S$6,$AG50&lt;=(S$6+6)),"◆",IF(AND($AE50&lt;=(S$6+6),$AF50&gt;=S$6),"遅",IF(AND($AC50&lt;=(S$6+6),$AD50&gt;=S$6),IF(AND($AA50&lt;=(S$6+6),$AB50&gt;=S$6),"実","外"),IF(AND($AA50&lt;=(S$6+6),$AB50&gt;=S$6),"計","")))))</f>
        <v/>
      </c>
      <c r="T50" s="93" t="str">
        <f>IF($Y50="","",IF(AND($AG50&gt;=T$6,$AG50&lt;=(T$6+6)),"◆",IF(AND($AE50&lt;=(T$6+6),$AF50&gt;=T$6),"遅",IF(AND($AC50&lt;=(T$6+6),$AD50&gt;=T$6),IF(AND($AA50&lt;=(T$6+6),$AB50&gt;=T$6),"実","外"),IF(AND($AA50&lt;=(T$6+6),$AB50&gt;=T$6),"計","")))))</f>
        <v/>
      </c>
      <c r="U50" s="93" t="str">
        <f>IF($Y50="","",IF(AND($AG50&gt;=U$6,$AG50&lt;=(U$6+6)),"◆",IF(AND($AE50&lt;=(U$6+6),$AF50&gt;=U$6),"遅",IF(AND($AC50&lt;=(U$6+6),$AD50&gt;=U$6),IF(AND($AA50&lt;=(U$6+6),$AB50&gt;=U$6),"実","外"),IF(AND($AA50&lt;=(U$6+6),$AB50&gt;=U$6),"計","")))))</f>
        <v/>
      </c>
      <c r="V50" s="93" t="str">
        <f>IF($Y50="","",IF(AND($AG50&gt;=V$6,$AG50&lt;=(V$6+6)),"◆",IF(AND($AE50&lt;=(V$6+6),$AF50&gt;=V$6),"遅",IF(AND($AC50&lt;=(V$6+6),$AD50&gt;=V$6),IF(AND($AA50&lt;=(V$6+6),$AB50&gt;=V$6),"実","外"),IF(AND($AA50&lt;=(V$6+6),$AB50&gt;=V$6),"計","")))))</f>
        <v/>
      </c>
      <c r="W50" s="93" t="str">
        <f>IF($Y50="","",IF(AND($AG50&gt;=W$6,$AG50&lt;=(W$6+6)),"◆",IF(AND($AE50&lt;=(W$6+6),$AF50&gt;=W$6),"遅",IF(AND($AC50&lt;=(W$6+6),$AD50&gt;=W$6),IF(AND($AA50&lt;=(W$6+6),$AB50&gt;=W$6),"実","外"),IF(AND($AA50&lt;=(W$6+6),$AB50&gt;=W$6),"計","")))))</f>
        <v/>
      </c>
      <c r="Y50" t="str">
        <f>IF(43&gt;COUNTIF(tblSteps[週別対象],1),"",IFERROR(MATCH(43,tblSteps[週別順位],0),""))</f>
        <v/>
      </c>
      <c r="Z50" t="str">
        <f>IF($Y50="","",INDEX(tblSteps[案件ID],$Y50)&amp;"")</f>
        <v/>
      </c>
      <c r="AA50" t="str">
        <f>IF($Y50="","",INDEX(tblSteps[計開],$Y50))</f>
        <v/>
      </c>
      <c r="AB50" t="str">
        <f>IF($Y50="","",INDEX(tblSteps[計終],$Y50))</f>
        <v/>
      </c>
      <c r="AC50" t="str">
        <f>IF($Y50="","",INDEX(tblSteps[実開],$Y50))</f>
        <v/>
      </c>
      <c r="AD50" t="str">
        <f>IF($Y50="","",INDEX(tblSteps[実終],$Y50))</f>
        <v/>
      </c>
      <c r="AE50" t="str">
        <f>IF($Y50="","",INDEX(tblSteps[遅開],$Y50))</f>
        <v/>
      </c>
      <c r="AF50" t="str">
        <f>IF($Y50="","",INDEX(tblSteps[遅終],$Y50))</f>
        <v/>
      </c>
      <c r="AG50" t="str">
        <f>IF($Y50="","",INDEX(tblSteps[納期値],$Y50))</f>
        <v/>
      </c>
    </row>
    <row r="51" ht="18" customHeight="1">
      <c r="A51" s="89" t="str">
        <f>IF($Y51="","",INDEX(tblSteps[工程ID],$Y51)&amp;"")</f>
        <v/>
      </c>
      <c r="B51" s="88" t="str">
        <f>IF($Y51="","",IF($Z51=$Z50,"",$Z51&amp;" "&amp;INDEX(tblSteps[案件名],$Y51)))</f>
        <v/>
      </c>
      <c r="C51" s="88" t="str">
        <f>IF($Y51="","",INDEX(tblSteps[工程名],$Y51)&amp;"")</f>
        <v/>
      </c>
      <c r="D51" s="89" t="str">
        <f>IF($Y51="","",INDEX(tblSteps[担当],$Y51)&amp;"")</f>
        <v/>
      </c>
      <c r="E51" s="89" t="str">
        <f>IF($Y51="","",INDEX(tblSteps[状態],$Y51)&amp;"")</f>
        <v/>
      </c>
      <c r="F51" s="90" t="str">
        <f>IF($Y51="","",IF(ISNUMBER(INDEX(tblSteps[進捗率],$Y51)),INDEX(tblSteps[進捗率],$Y51),""))</f>
        <v/>
      </c>
      <c r="G51" s="91" t="str">
        <f>IF($Y51="","",IF(ISNUMBER(INDEX(tblSteps[計画開始日],$Y51)),INDEX(tblSteps[計画開始日],$Y51),"未入力"))</f>
        <v/>
      </c>
      <c r="H51" s="91" t="str">
        <f>IF($Y51="","",IF(ISNUMBER(INDEX(tblSteps[計画終了日],$Y51)),INDEX(tblSteps[計画終了日],$Y51),"未入力"))</f>
        <v/>
      </c>
      <c r="I51" s="91" t="str">
        <f>IF($Y51="","",IF(ISNUMBER(INDEX(tblSteps[完了見込日],$Y51)),INDEX(tblSteps[完了見込日],$Y51),""))</f>
        <v/>
      </c>
      <c r="J51" s="92" t="str">
        <f>IF($Y51="","",INDEX(tblSteps[注意短],$Y51)&amp;"")</f>
        <v/>
      </c>
      <c r="K51" s="93" t="str">
        <f>IF($Y51="","",IF(AND($AG51&gt;=K$6,$AG51&lt;=(K$6+6)),"◆",IF(AND($AE51&lt;=(K$6+6),$AF51&gt;=K$6),"遅",IF(AND($AC51&lt;=(K$6+6),$AD51&gt;=K$6),IF(AND($AA51&lt;=(K$6+6),$AB51&gt;=K$6),"実","外"),IF(AND($AA51&lt;=(K$6+6),$AB51&gt;=K$6),"計","")))))</f>
        <v/>
      </c>
      <c r="L51" s="93" t="str">
        <f>IF($Y51="","",IF(AND($AG51&gt;=L$6,$AG51&lt;=(L$6+6)),"◆",IF(AND($AE51&lt;=(L$6+6),$AF51&gt;=L$6),"遅",IF(AND($AC51&lt;=(L$6+6),$AD51&gt;=L$6),IF(AND($AA51&lt;=(L$6+6),$AB51&gt;=L$6),"実","外"),IF(AND($AA51&lt;=(L$6+6),$AB51&gt;=L$6),"計","")))))</f>
        <v/>
      </c>
      <c r="M51" s="93" t="str">
        <f>IF($Y51="","",IF(AND($AG51&gt;=M$6,$AG51&lt;=(M$6+6)),"◆",IF(AND($AE51&lt;=(M$6+6),$AF51&gt;=M$6),"遅",IF(AND($AC51&lt;=(M$6+6),$AD51&gt;=M$6),IF(AND($AA51&lt;=(M$6+6),$AB51&gt;=M$6),"実","外"),IF(AND($AA51&lt;=(M$6+6),$AB51&gt;=M$6),"計","")))))</f>
        <v/>
      </c>
      <c r="N51" s="93" t="str">
        <f>IF($Y51="","",IF(AND($AG51&gt;=N$6,$AG51&lt;=(N$6+6)),"◆",IF(AND($AE51&lt;=(N$6+6),$AF51&gt;=N$6),"遅",IF(AND($AC51&lt;=(N$6+6),$AD51&gt;=N$6),IF(AND($AA51&lt;=(N$6+6),$AB51&gt;=N$6),"実","外"),IF(AND($AA51&lt;=(N$6+6),$AB51&gt;=N$6),"計","")))))</f>
        <v/>
      </c>
      <c r="O51" s="93" t="str">
        <f>IF($Y51="","",IF(AND($AG51&gt;=O$6,$AG51&lt;=(O$6+6)),"◆",IF(AND($AE51&lt;=(O$6+6),$AF51&gt;=O$6),"遅",IF(AND($AC51&lt;=(O$6+6),$AD51&gt;=O$6),IF(AND($AA51&lt;=(O$6+6),$AB51&gt;=O$6),"実","外"),IF(AND($AA51&lt;=(O$6+6),$AB51&gt;=O$6),"計","")))))</f>
        <v/>
      </c>
      <c r="P51" s="93" t="str">
        <f>IF($Y51="","",IF(AND($AG51&gt;=P$6,$AG51&lt;=(P$6+6)),"◆",IF(AND($AE51&lt;=(P$6+6),$AF51&gt;=P$6),"遅",IF(AND($AC51&lt;=(P$6+6),$AD51&gt;=P$6),IF(AND($AA51&lt;=(P$6+6),$AB51&gt;=P$6),"実","外"),IF(AND($AA51&lt;=(P$6+6),$AB51&gt;=P$6),"計","")))))</f>
        <v/>
      </c>
      <c r="Q51" s="93" t="str">
        <f>IF($Y51="","",IF(AND($AG51&gt;=Q$6,$AG51&lt;=(Q$6+6)),"◆",IF(AND($AE51&lt;=(Q$6+6),$AF51&gt;=Q$6),"遅",IF(AND($AC51&lt;=(Q$6+6),$AD51&gt;=Q$6),IF(AND($AA51&lt;=(Q$6+6),$AB51&gt;=Q$6),"実","外"),IF(AND($AA51&lt;=(Q$6+6),$AB51&gt;=Q$6),"計","")))))</f>
        <v/>
      </c>
      <c r="R51" s="93" t="str">
        <f>IF($Y51="","",IF(AND($AG51&gt;=R$6,$AG51&lt;=(R$6+6)),"◆",IF(AND($AE51&lt;=(R$6+6),$AF51&gt;=R$6),"遅",IF(AND($AC51&lt;=(R$6+6),$AD51&gt;=R$6),IF(AND($AA51&lt;=(R$6+6),$AB51&gt;=R$6),"実","外"),IF(AND($AA51&lt;=(R$6+6),$AB51&gt;=R$6),"計","")))))</f>
        <v/>
      </c>
      <c r="S51" s="93" t="str">
        <f>IF($Y51="","",IF(AND($AG51&gt;=S$6,$AG51&lt;=(S$6+6)),"◆",IF(AND($AE51&lt;=(S$6+6),$AF51&gt;=S$6),"遅",IF(AND($AC51&lt;=(S$6+6),$AD51&gt;=S$6),IF(AND($AA51&lt;=(S$6+6),$AB51&gt;=S$6),"実","外"),IF(AND($AA51&lt;=(S$6+6),$AB51&gt;=S$6),"計","")))))</f>
        <v/>
      </c>
      <c r="T51" s="93" t="str">
        <f>IF($Y51="","",IF(AND($AG51&gt;=T$6,$AG51&lt;=(T$6+6)),"◆",IF(AND($AE51&lt;=(T$6+6),$AF51&gt;=T$6),"遅",IF(AND($AC51&lt;=(T$6+6),$AD51&gt;=T$6),IF(AND($AA51&lt;=(T$6+6),$AB51&gt;=T$6),"実","外"),IF(AND($AA51&lt;=(T$6+6),$AB51&gt;=T$6),"計","")))))</f>
        <v/>
      </c>
      <c r="U51" s="93" t="str">
        <f>IF($Y51="","",IF(AND($AG51&gt;=U$6,$AG51&lt;=(U$6+6)),"◆",IF(AND($AE51&lt;=(U$6+6),$AF51&gt;=U$6),"遅",IF(AND($AC51&lt;=(U$6+6),$AD51&gt;=U$6),IF(AND($AA51&lt;=(U$6+6),$AB51&gt;=U$6),"実","外"),IF(AND($AA51&lt;=(U$6+6),$AB51&gt;=U$6),"計","")))))</f>
        <v/>
      </c>
      <c r="V51" s="93" t="str">
        <f>IF($Y51="","",IF(AND($AG51&gt;=V$6,$AG51&lt;=(V$6+6)),"◆",IF(AND($AE51&lt;=(V$6+6),$AF51&gt;=V$6),"遅",IF(AND($AC51&lt;=(V$6+6),$AD51&gt;=V$6),IF(AND($AA51&lt;=(V$6+6),$AB51&gt;=V$6),"実","外"),IF(AND($AA51&lt;=(V$6+6),$AB51&gt;=V$6),"計","")))))</f>
        <v/>
      </c>
      <c r="W51" s="93" t="str">
        <f>IF($Y51="","",IF(AND($AG51&gt;=W$6,$AG51&lt;=(W$6+6)),"◆",IF(AND($AE51&lt;=(W$6+6),$AF51&gt;=W$6),"遅",IF(AND($AC51&lt;=(W$6+6),$AD51&gt;=W$6),IF(AND($AA51&lt;=(W$6+6),$AB51&gt;=W$6),"実","外"),IF(AND($AA51&lt;=(W$6+6),$AB51&gt;=W$6),"計","")))))</f>
        <v/>
      </c>
      <c r="Y51" t="str">
        <f>IF(44&gt;COUNTIF(tblSteps[週別対象],1),"",IFERROR(MATCH(44,tblSteps[週別順位],0),""))</f>
        <v/>
      </c>
      <c r="Z51" t="str">
        <f>IF($Y51="","",INDEX(tblSteps[案件ID],$Y51)&amp;"")</f>
        <v/>
      </c>
      <c r="AA51" t="str">
        <f>IF($Y51="","",INDEX(tblSteps[計開],$Y51))</f>
        <v/>
      </c>
      <c r="AB51" t="str">
        <f>IF($Y51="","",INDEX(tblSteps[計終],$Y51))</f>
        <v/>
      </c>
      <c r="AC51" t="str">
        <f>IF($Y51="","",INDEX(tblSteps[実開],$Y51))</f>
        <v/>
      </c>
      <c r="AD51" t="str">
        <f>IF($Y51="","",INDEX(tblSteps[実終],$Y51))</f>
        <v/>
      </c>
      <c r="AE51" t="str">
        <f>IF($Y51="","",INDEX(tblSteps[遅開],$Y51))</f>
        <v/>
      </c>
      <c r="AF51" t="str">
        <f>IF($Y51="","",INDEX(tblSteps[遅終],$Y51))</f>
        <v/>
      </c>
      <c r="AG51" t="str">
        <f>IF($Y51="","",INDEX(tblSteps[納期値],$Y51))</f>
        <v/>
      </c>
    </row>
    <row r="52" ht="18" customHeight="1">
      <c r="A52" s="89" t="str">
        <f>IF($Y52="","",INDEX(tblSteps[工程ID],$Y52)&amp;"")</f>
        <v/>
      </c>
      <c r="B52" s="88" t="str">
        <f>IF($Y52="","",IF($Z52=$Z51,"",$Z52&amp;" "&amp;INDEX(tblSteps[案件名],$Y52)))</f>
        <v/>
      </c>
      <c r="C52" s="88" t="str">
        <f>IF($Y52="","",INDEX(tblSteps[工程名],$Y52)&amp;"")</f>
        <v/>
      </c>
      <c r="D52" s="89" t="str">
        <f>IF($Y52="","",INDEX(tblSteps[担当],$Y52)&amp;"")</f>
        <v/>
      </c>
      <c r="E52" s="89" t="str">
        <f>IF($Y52="","",INDEX(tblSteps[状態],$Y52)&amp;"")</f>
        <v/>
      </c>
      <c r="F52" s="90" t="str">
        <f>IF($Y52="","",IF(ISNUMBER(INDEX(tblSteps[進捗率],$Y52)),INDEX(tblSteps[進捗率],$Y52),""))</f>
        <v/>
      </c>
      <c r="G52" s="91" t="str">
        <f>IF($Y52="","",IF(ISNUMBER(INDEX(tblSteps[計画開始日],$Y52)),INDEX(tblSteps[計画開始日],$Y52),"未入力"))</f>
        <v/>
      </c>
      <c r="H52" s="91" t="str">
        <f>IF($Y52="","",IF(ISNUMBER(INDEX(tblSteps[計画終了日],$Y52)),INDEX(tblSteps[計画終了日],$Y52),"未入力"))</f>
        <v/>
      </c>
      <c r="I52" s="91" t="str">
        <f>IF($Y52="","",IF(ISNUMBER(INDEX(tblSteps[完了見込日],$Y52)),INDEX(tblSteps[完了見込日],$Y52),""))</f>
        <v/>
      </c>
      <c r="J52" s="92" t="str">
        <f>IF($Y52="","",INDEX(tblSteps[注意短],$Y52)&amp;"")</f>
        <v/>
      </c>
      <c r="K52" s="93" t="str">
        <f>IF($Y52="","",IF(AND($AG52&gt;=K$6,$AG52&lt;=(K$6+6)),"◆",IF(AND($AE52&lt;=(K$6+6),$AF52&gt;=K$6),"遅",IF(AND($AC52&lt;=(K$6+6),$AD52&gt;=K$6),IF(AND($AA52&lt;=(K$6+6),$AB52&gt;=K$6),"実","外"),IF(AND($AA52&lt;=(K$6+6),$AB52&gt;=K$6),"計","")))))</f>
        <v/>
      </c>
      <c r="L52" s="93" t="str">
        <f>IF($Y52="","",IF(AND($AG52&gt;=L$6,$AG52&lt;=(L$6+6)),"◆",IF(AND($AE52&lt;=(L$6+6),$AF52&gt;=L$6),"遅",IF(AND($AC52&lt;=(L$6+6),$AD52&gt;=L$6),IF(AND($AA52&lt;=(L$6+6),$AB52&gt;=L$6),"実","外"),IF(AND($AA52&lt;=(L$6+6),$AB52&gt;=L$6),"計","")))))</f>
        <v/>
      </c>
      <c r="M52" s="93" t="str">
        <f>IF($Y52="","",IF(AND($AG52&gt;=M$6,$AG52&lt;=(M$6+6)),"◆",IF(AND($AE52&lt;=(M$6+6),$AF52&gt;=M$6),"遅",IF(AND($AC52&lt;=(M$6+6),$AD52&gt;=M$6),IF(AND($AA52&lt;=(M$6+6),$AB52&gt;=M$6),"実","外"),IF(AND($AA52&lt;=(M$6+6),$AB52&gt;=M$6),"計","")))))</f>
        <v/>
      </c>
      <c r="N52" s="93" t="str">
        <f>IF($Y52="","",IF(AND($AG52&gt;=N$6,$AG52&lt;=(N$6+6)),"◆",IF(AND($AE52&lt;=(N$6+6),$AF52&gt;=N$6),"遅",IF(AND($AC52&lt;=(N$6+6),$AD52&gt;=N$6),IF(AND($AA52&lt;=(N$6+6),$AB52&gt;=N$6),"実","外"),IF(AND($AA52&lt;=(N$6+6),$AB52&gt;=N$6),"計","")))))</f>
        <v/>
      </c>
      <c r="O52" s="93" t="str">
        <f>IF($Y52="","",IF(AND($AG52&gt;=O$6,$AG52&lt;=(O$6+6)),"◆",IF(AND($AE52&lt;=(O$6+6),$AF52&gt;=O$6),"遅",IF(AND($AC52&lt;=(O$6+6),$AD52&gt;=O$6),IF(AND($AA52&lt;=(O$6+6),$AB52&gt;=O$6),"実","外"),IF(AND($AA52&lt;=(O$6+6),$AB52&gt;=O$6),"計","")))))</f>
        <v/>
      </c>
      <c r="P52" s="93" t="str">
        <f>IF($Y52="","",IF(AND($AG52&gt;=P$6,$AG52&lt;=(P$6+6)),"◆",IF(AND($AE52&lt;=(P$6+6),$AF52&gt;=P$6),"遅",IF(AND($AC52&lt;=(P$6+6),$AD52&gt;=P$6),IF(AND($AA52&lt;=(P$6+6),$AB52&gt;=P$6),"実","外"),IF(AND($AA52&lt;=(P$6+6),$AB52&gt;=P$6),"計","")))))</f>
        <v/>
      </c>
      <c r="Q52" s="93" t="str">
        <f>IF($Y52="","",IF(AND($AG52&gt;=Q$6,$AG52&lt;=(Q$6+6)),"◆",IF(AND($AE52&lt;=(Q$6+6),$AF52&gt;=Q$6),"遅",IF(AND($AC52&lt;=(Q$6+6),$AD52&gt;=Q$6),IF(AND($AA52&lt;=(Q$6+6),$AB52&gt;=Q$6),"実","外"),IF(AND($AA52&lt;=(Q$6+6),$AB52&gt;=Q$6),"計","")))))</f>
        <v/>
      </c>
      <c r="R52" s="93" t="str">
        <f>IF($Y52="","",IF(AND($AG52&gt;=R$6,$AG52&lt;=(R$6+6)),"◆",IF(AND($AE52&lt;=(R$6+6),$AF52&gt;=R$6),"遅",IF(AND($AC52&lt;=(R$6+6),$AD52&gt;=R$6),IF(AND($AA52&lt;=(R$6+6),$AB52&gt;=R$6),"実","外"),IF(AND($AA52&lt;=(R$6+6),$AB52&gt;=R$6),"計","")))))</f>
        <v/>
      </c>
      <c r="S52" s="93" t="str">
        <f>IF($Y52="","",IF(AND($AG52&gt;=S$6,$AG52&lt;=(S$6+6)),"◆",IF(AND($AE52&lt;=(S$6+6),$AF52&gt;=S$6),"遅",IF(AND($AC52&lt;=(S$6+6),$AD52&gt;=S$6),IF(AND($AA52&lt;=(S$6+6),$AB52&gt;=S$6),"実","外"),IF(AND($AA52&lt;=(S$6+6),$AB52&gt;=S$6),"計","")))))</f>
        <v/>
      </c>
      <c r="T52" s="93" t="str">
        <f>IF($Y52="","",IF(AND($AG52&gt;=T$6,$AG52&lt;=(T$6+6)),"◆",IF(AND($AE52&lt;=(T$6+6),$AF52&gt;=T$6),"遅",IF(AND($AC52&lt;=(T$6+6),$AD52&gt;=T$6),IF(AND($AA52&lt;=(T$6+6),$AB52&gt;=T$6),"実","外"),IF(AND($AA52&lt;=(T$6+6),$AB52&gt;=T$6),"計","")))))</f>
        <v/>
      </c>
      <c r="U52" s="93" t="str">
        <f>IF($Y52="","",IF(AND($AG52&gt;=U$6,$AG52&lt;=(U$6+6)),"◆",IF(AND($AE52&lt;=(U$6+6),$AF52&gt;=U$6),"遅",IF(AND($AC52&lt;=(U$6+6),$AD52&gt;=U$6),IF(AND($AA52&lt;=(U$6+6),$AB52&gt;=U$6),"実","外"),IF(AND($AA52&lt;=(U$6+6),$AB52&gt;=U$6),"計","")))))</f>
        <v/>
      </c>
      <c r="V52" s="93" t="str">
        <f>IF($Y52="","",IF(AND($AG52&gt;=V$6,$AG52&lt;=(V$6+6)),"◆",IF(AND($AE52&lt;=(V$6+6),$AF52&gt;=V$6),"遅",IF(AND($AC52&lt;=(V$6+6),$AD52&gt;=V$6),IF(AND($AA52&lt;=(V$6+6),$AB52&gt;=V$6),"実","外"),IF(AND($AA52&lt;=(V$6+6),$AB52&gt;=V$6),"計","")))))</f>
        <v/>
      </c>
      <c r="W52" s="93" t="str">
        <f>IF($Y52="","",IF(AND($AG52&gt;=W$6,$AG52&lt;=(W$6+6)),"◆",IF(AND($AE52&lt;=(W$6+6),$AF52&gt;=W$6),"遅",IF(AND($AC52&lt;=(W$6+6),$AD52&gt;=W$6),IF(AND($AA52&lt;=(W$6+6),$AB52&gt;=W$6),"実","外"),IF(AND($AA52&lt;=(W$6+6),$AB52&gt;=W$6),"計","")))))</f>
        <v/>
      </c>
      <c r="Y52" t="str">
        <f>IF(45&gt;COUNTIF(tblSteps[週別対象],1),"",IFERROR(MATCH(45,tblSteps[週別順位],0),""))</f>
        <v/>
      </c>
      <c r="Z52" t="str">
        <f>IF($Y52="","",INDEX(tblSteps[案件ID],$Y52)&amp;"")</f>
        <v/>
      </c>
      <c r="AA52" t="str">
        <f>IF($Y52="","",INDEX(tblSteps[計開],$Y52))</f>
        <v/>
      </c>
      <c r="AB52" t="str">
        <f>IF($Y52="","",INDEX(tblSteps[計終],$Y52))</f>
        <v/>
      </c>
      <c r="AC52" t="str">
        <f>IF($Y52="","",INDEX(tblSteps[実開],$Y52))</f>
        <v/>
      </c>
      <c r="AD52" t="str">
        <f>IF($Y52="","",INDEX(tblSteps[実終],$Y52))</f>
        <v/>
      </c>
      <c r="AE52" t="str">
        <f>IF($Y52="","",INDEX(tblSteps[遅開],$Y52))</f>
        <v/>
      </c>
      <c r="AF52" t="str">
        <f>IF($Y52="","",INDEX(tblSteps[遅終],$Y52))</f>
        <v/>
      </c>
      <c r="AG52" t="str">
        <f>IF($Y52="","",INDEX(tblSteps[納期値],$Y52))</f>
        <v/>
      </c>
    </row>
    <row r="53" ht="18" customHeight="1">
      <c r="A53" s="89" t="str">
        <f>IF($Y53="","",INDEX(tblSteps[工程ID],$Y53)&amp;"")</f>
        <v/>
      </c>
      <c r="B53" s="88" t="str">
        <f>IF($Y53="","",IF($Z53=$Z52,"",$Z53&amp;" "&amp;INDEX(tblSteps[案件名],$Y53)))</f>
        <v/>
      </c>
      <c r="C53" s="88" t="str">
        <f>IF($Y53="","",INDEX(tblSteps[工程名],$Y53)&amp;"")</f>
        <v/>
      </c>
      <c r="D53" s="89" t="str">
        <f>IF($Y53="","",INDEX(tblSteps[担当],$Y53)&amp;"")</f>
        <v/>
      </c>
      <c r="E53" s="89" t="str">
        <f>IF($Y53="","",INDEX(tblSteps[状態],$Y53)&amp;"")</f>
        <v/>
      </c>
      <c r="F53" s="90" t="str">
        <f>IF($Y53="","",IF(ISNUMBER(INDEX(tblSteps[進捗率],$Y53)),INDEX(tblSteps[進捗率],$Y53),""))</f>
        <v/>
      </c>
      <c r="G53" s="91" t="str">
        <f>IF($Y53="","",IF(ISNUMBER(INDEX(tblSteps[計画開始日],$Y53)),INDEX(tblSteps[計画開始日],$Y53),"未入力"))</f>
        <v/>
      </c>
      <c r="H53" s="91" t="str">
        <f>IF($Y53="","",IF(ISNUMBER(INDEX(tblSteps[計画終了日],$Y53)),INDEX(tblSteps[計画終了日],$Y53),"未入力"))</f>
        <v/>
      </c>
      <c r="I53" s="91" t="str">
        <f>IF($Y53="","",IF(ISNUMBER(INDEX(tblSteps[完了見込日],$Y53)),INDEX(tblSteps[完了見込日],$Y53),""))</f>
        <v/>
      </c>
      <c r="J53" s="92" t="str">
        <f>IF($Y53="","",INDEX(tblSteps[注意短],$Y53)&amp;"")</f>
        <v/>
      </c>
      <c r="K53" s="93" t="str">
        <f>IF($Y53="","",IF(AND($AG53&gt;=K$6,$AG53&lt;=(K$6+6)),"◆",IF(AND($AE53&lt;=(K$6+6),$AF53&gt;=K$6),"遅",IF(AND($AC53&lt;=(K$6+6),$AD53&gt;=K$6),IF(AND($AA53&lt;=(K$6+6),$AB53&gt;=K$6),"実","外"),IF(AND($AA53&lt;=(K$6+6),$AB53&gt;=K$6),"計","")))))</f>
        <v/>
      </c>
      <c r="L53" s="93" t="str">
        <f>IF($Y53="","",IF(AND($AG53&gt;=L$6,$AG53&lt;=(L$6+6)),"◆",IF(AND($AE53&lt;=(L$6+6),$AF53&gt;=L$6),"遅",IF(AND($AC53&lt;=(L$6+6),$AD53&gt;=L$6),IF(AND($AA53&lt;=(L$6+6),$AB53&gt;=L$6),"実","外"),IF(AND($AA53&lt;=(L$6+6),$AB53&gt;=L$6),"計","")))))</f>
        <v/>
      </c>
      <c r="M53" s="93" t="str">
        <f>IF($Y53="","",IF(AND($AG53&gt;=M$6,$AG53&lt;=(M$6+6)),"◆",IF(AND($AE53&lt;=(M$6+6),$AF53&gt;=M$6),"遅",IF(AND($AC53&lt;=(M$6+6),$AD53&gt;=M$6),IF(AND($AA53&lt;=(M$6+6),$AB53&gt;=M$6),"実","外"),IF(AND($AA53&lt;=(M$6+6),$AB53&gt;=M$6),"計","")))))</f>
        <v/>
      </c>
      <c r="N53" s="93" t="str">
        <f>IF($Y53="","",IF(AND($AG53&gt;=N$6,$AG53&lt;=(N$6+6)),"◆",IF(AND($AE53&lt;=(N$6+6),$AF53&gt;=N$6),"遅",IF(AND($AC53&lt;=(N$6+6),$AD53&gt;=N$6),IF(AND($AA53&lt;=(N$6+6),$AB53&gt;=N$6),"実","外"),IF(AND($AA53&lt;=(N$6+6),$AB53&gt;=N$6),"計","")))))</f>
        <v/>
      </c>
      <c r="O53" s="93" t="str">
        <f>IF($Y53="","",IF(AND($AG53&gt;=O$6,$AG53&lt;=(O$6+6)),"◆",IF(AND($AE53&lt;=(O$6+6),$AF53&gt;=O$6),"遅",IF(AND($AC53&lt;=(O$6+6),$AD53&gt;=O$6),IF(AND($AA53&lt;=(O$6+6),$AB53&gt;=O$6),"実","外"),IF(AND($AA53&lt;=(O$6+6),$AB53&gt;=O$6),"計","")))))</f>
        <v/>
      </c>
      <c r="P53" s="93" t="str">
        <f>IF($Y53="","",IF(AND($AG53&gt;=P$6,$AG53&lt;=(P$6+6)),"◆",IF(AND($AE53&lt;=(P$6+6),$AF53&gt;=P$6),"遅",IF(AND($AC53&lt;=(P$6+6),$AD53&gt;=P$6),IF(AND($AA53&lt;=(P$6+6),$AB53&gt;=P$6),"実","外"),IF(AND($AA53&lt;=(P$6+6),$AB53&gt;=P$6),"計","")))))</f>
        <v/>
      </c>
      <c r="Q53" s="93" t="str">
        <f>IF($Y53="","",IF(AND($AG53&gt;=Q$6,$AG53&lt;=(Q$6+6)),"◆",IF(AND($AE53&lt;=(Q$6+6),$AF53&gt;=Q$6),"遅",IF(AND($AC53&lt;=(Q$6+6),$AD53&gt;=Q$6),IF(AND($AA53&lt;=(Q$6+6),$AB53&gt;=Q$6),"実","外"),IF(AND($AA53&lt;=(Q$6+6),$AB53&gt;=Q$6),"計","")))))</f>
        <v/>
      </c>
      <c r="R53" s="93" t="str">
        <f>IF($Y53="","",IF(AND($AG53&gt;=R$6,$AG53&lt;=(R$6+6)),"◆",IF(AND($AE53&lt;=(R$6+6),$AF53&gt;=R$6),"遅",IF(AND($AC53&lt;=(R$6+6),$AD53&gt;=R$6),IF(AND($AA53&lt;=(R$6+6),$AB53&gt;=R$6),"実","外"),IF(AND($AA53&lt;=(R$6+6),$AB53&gt;=R$6),"計","")))))</f>
        <v/>
      </c>
      <c r="S53" s="93" t="str">
        <f>IF($Y53="","",IF(AND($AG53&gt;=S$6,$AG53&lt;=(S$6+6)),"◆",IF(AND($AE53&lt;=(S$6+6),$AF53&gt;=S$6),"遅",IF(AND($AC53&lt;=(S$6+6),$AD53&gt;=S$6),IF(AND($AA53&lt;=(S$6+6),$AB53&gt;=S$6),"実","外"),IF(AND($AA53&lt;=(S$6+6),$AB53&gt;=S$6),"計","")))))</f>
        <v/>
      </c>
      <c r="T53" s="93" t="str">
        <f>IF($Y53="","",IF(AND($AG53&gt;=T$6,$AG53&lt;=(T$6+6)),"◆",IF(AND($AE53&lt;=(T$6+6),$AF53&gt;=T$6),"遅",IF(AND($AC53&lt;=(T$6+6),$AD53&gt;=T$6),IF(AND($AA53&lt;=(T$6+6),$AB53&gt;=T$6),"実","外"),IF(AND($AA53&lt;=(T$6+6),$AB53&gt;=T$6),"計","")))))</f>
        <v/>
      </c>
      <c r="U53" s="93" t="str">
        <f>IF($Y53="","",IF(AND($AG53&gt;=U$6,$AG53&lt;=(U$6+6)),"◆",IF(AND($AE53&lt;=(U$6+6),$AF53&gt;=U$6),"遅",IF(AND($AC53&lt;=(U$6+6),$AD53&gt;=U$6),IF(AND($AA53&lt;=(U$6+6),$AB53&gt;=U$6),"実","外"),IF(AND($AA53&lt;=(U$6+6),$AB53&gt;=U$6),"計","")))))</f>
        <v/>
      </c>
      <c r="V53" s="93" t="str">
        <f>IF($Y53="","",IF(AND($AG53&gt;=V$6,$AG53&lt;=(V$6+6)),"◆",IF(AND($AE53&lt;=(V$6+6),$AF53&gt;=V$6),"遅",IF(AND($AC53&lt;=(V$6+6),$AD53&gt;=V$6),IF(AND($AA53&lt;=(V$6+6),$AB53&gt;=V$6),"実","外"),IF(AND($AA53&lt;=(V$6+6),$AB53&gt;=V$6),"計","")))))</f>
        <v/>
      </c>
      <c r="W53" s="93" t="str">
        <f>IF($Y53="","",IF(AND($AG53&gt;=W$6,$AG53&lt;=(W$6+6)),"◆",IF(AND($AE53&lt;=(W$6+6),$AF53&gt;=W$6),"遅",IF(AND($AC53&lt;=(W$6+6),$AD53&gt;=W$6),IF(AND($AA53&lt;=(W$6+6),$AB53&gt;=W$6),"実","外"),IF(AND($AA53&lt;=(W$6+6),$AB53&gt;=W$6),"計","")))))</f>
        <v/>
      </c>
      <c r="Y53" t="str">
        <f>IF(46&gt;COUNTIF(tblSteps[週別対象],1),"",IFERROR(MATCH(46,tblSteps[週別順位],0),""))</f>
        <v/>
      </c>
      <c r="Z53" t="str">
        <f>IF($Y53="","",INDEX(tblSteps[案件ID],$Y53)&amp;"")</f>
        <v/>
      </c>
      <c r="AA53" t="str">
        <f>IF($Y53="","",INDEX(tblSteps[計開],$Y53))</f>
        <v/>
      </c>
      <c r="AB53" t="str">
        <f>IF($Y53="","",INDEX(tblSteps[計終],$Y53))</f>
        <v/>
      </c>
      <c r="AC53" t="str">
        <f>IF($Y53="","",INDEX(tblSteps[実開],$Y53))</f>
        <v/>
      </c>
      <c r="AD53" t="str">
        <f>IF($Y53="","",INDEX(tblSteps[実終],$Y53))</f>
        <v/>
      </c>
      <c r="AE53" t="str">
        <f>IF($Y53="","",INDEX(tblSteps[遅開],$Y53))</f>
        <v/>
      </c>
      <c r="AF53" t="str">
        <f>IF($Y53="","",INDEX(tblSteps[遅終],$Y53))</f>
        <v/>
      </c>
      <c r="AG53" t="str">
        <f>IF($Y53="","",INDEX(tblSteps[納期値],$Y53))</f>
        <v/>
      </c>
    </row>
    <row r="54" ht="18" customHeight="1">
      <c r="A54" s="89" t="str">
        <f>IF($Y54="","",INDEX(tblSteps[工程ID],$Y54)&amp;"")</f>
        <v/>
      </c>
      <c r="B54" s="88" t="str">
        <f>IF($Y54="","",IF($Z54=$Z53,"",$Z54&amp;" "&amp;INDEX(tblSteps[案件名],$Y54)))</f>
        <v/>
      </c>
      <c r="C54" s="88" t="str">
        <f>IF($Y54="","",INDEX(tblSteps[工程名],$Y54)&amp;"")</f>
        <v/>
      </c>
      <c r="D54" s="89" t="str">
        <f>IF($Y54="","",INDEX(tblSteps[担当],$Y54)&amp;"")</f>
        <v/>
      </c>
      <c r="E54" s="89" t="str">
        <f>IF($Y54="","",INDEX(tblSteps[状態],$Y54)&amp;"")</f>
        <v/>
      </c>
      <c r="F54" s="90" t="str">
        <f>IF($Y54="","",IF(ISNUMBER(INDEX(tblSteps[進捗率],$Y54)),INDEX(tblSteps[進捗率],$Y54),""))</f>
        <v/>
      </c>
      <c r="G54" s="91" t="str">
        <f>IF($Y54="","",IF(ISNUMBER(INDEX(tblSteps[計画開始日],$Y54)),INDEX(tblSteps[計画開始日],$Y54),"未入力"))</f>
        <v/>
      </c>
      <c r="H54" s="91" t="str">
        <f>IF($Y54="","",IF(ISNUMBER(INDEX(tblSteps[計画終了日],$Y54)),INDEX(tblSteps[計画終了日],$Y54),"未入力"))</f>
        <v/>
      </c>
      <c r="I54" s="91" t="str">
        <f>IF($Y54="","",IF(ISNUMBER(INDEX(tblSteps[完了見込日],$Y54)),INDEX(tblSteps[完了見込日],$Y54),""))</f>
        <v/>
      </c>
      <c r="J54" s="92" t="str">
        <f>IF($Y54="","",INDEX(tblSteps[注意短],$Y54)&amp;"")</f>
        <v/>
      </c>
      <c r="K54" s="93" t="str">
        <f>IF($Y54="","",IF(AND($AG54&gt;=K$6,$AG54&lt;=(K$6+6)),"◆",IF(AND($AE54&lt;=(K$6+6),$AF54&gt;=K$6),"遅",IF(AND($AC54&lt;=(K$6+6),$AD54&gt;=K$6),IF(AND($AA54&lt;=(K$6+6),$AB54&gt;=K$6),"実","外"),IF(AND($AA54&lt;=(K$6+6),$AB54&gt;=K$6),"計","")))))</f>
        <v/>
      </c>
      <c r="L54" s="93" t="str">
        <f>IF($Y54="","",IF(AND($AG54&gt;=L$6,$AG54&lt;=(L$6+6)),"◆",IF(AND($AE54&lt;=(L$6+6),$AF54&gt;=L$6),"遅",IF(AND($AC54&lt;=(L$6+6),$AD54&gt;=L$6),IF(AND($AA54&lt;=(L$6+6),$AB54&gt;=L$6),"実","外"),IF(AND($AA54&lt;=(L$6+6),$AB54&gt;=L$6),"計","")))))</f>
        <v/>
      </c>
      <c r="M54" s="93" t="str">
        <f>IF($Y54="","",IF(AND($AG54&gt;=M$6,$AG54&lt;=(M$6+6)),"◆",IF(AND($AE54&lt;=(M$6+6),$AF54&gt;=M$6),"遅",IF(AND($AC54&lt;=(M$6+6),$AD54&gt;=M$6),IF(AND($AA54&lt;=(M$6+6),$AB54&gt;=M$6),"実","外"),IF(AND($AA54&lt;=(M$6+6),$AB54&gt;=M$6),"計","")))))</f>
        <v/>
      </c>
      <c r="N54" s="93" t="str">
        <f>IF($Y54="","",IF(AND($AG54&gt;=N$6,$AG54&lt;=(N$6+6)),"◆",IF(AND($AE54&lt;=(N$6+6),$AF54&gt;=N$6),"遅",IF(AND($AC54&lt;=(N$6+6),$AD54&gt;=N$6),IF(AND($AA54&lt;=(N$6+6),$AB54&gt;=N$6),"実","外"),IF(AND($AA54&lt;=(N$6+6),$AB54&gt;=N$6),"計","")))))</f>
        <v/>
      </c>
      <c r="O54" s="93" t="str">
        <f>IF($Y54="","",IF(AND($AG54&gt;=O$6,$AG54&lt;=(O$6+6)),"◆",IF(AND($AE54&lt;=(O$6+6),$AF54&gt;=O$6),"遅",IF(AND($AC54&lt;=(O$6+6),$AD54&gt;=O$6),IF(AND($AA54&lt;=(O$6+6),$AB54&gt;=O$6),"実","外"),IF(AND($AA54&lt;=(O$6+6),$AB54&gt;=O$6),"計","")))))</f>
        <v/>
      </c>
      <c r="P54" s="93" t="str">
        <f>IF($Y54="","",IF(AND($AG54&gt;=P$6,$AG54&lt;=(P$6+6)),"◆",IF(AND($AE54&lt;=(P$6+6),$AF54&gt;=P$6),"遅",IF(AND($AC54&lt;=(P$6+6),$AD54&gt;=P$6),IF(AND($AA54&lt;=(P$6+6),$AB54&gt;=P$6),"実","外"),IF(AND($AA54&lt;=(P$6+6),$AB54&gt;=P$6),"計","")))))</f>
        <v/>
      </c>
      <c r="Q54" s="93" t="str">
        <f>IF($Y54="","",IF(AND($AG54&gt;=Q$6,$AG54&lt;=(Q$6+6)),"◆",IF(AND($AE54&lt;=(Q$6+6),$AF54&gt;=Q$6),"遅",IF(AND($AC54&lt;=(Q$6+6),$AD54&gt;=Q$6),IF(AND($AA54&lt;=(Q$6+6),$AB54&gt;=Q$6),"実","外"),IF(AND($AA54&lt;=(Q$6+6),$AB54&gt;=Q$6),"計","")))))</f>
        <v/>
      </c>
      <c r="R54" s="93" t="str">
        <f>IF($Y54="","",IF(AND($AG54&gt;=R$6,$AG54&lt;=(R$6+6)),"◆",IF(AND($AE54&lt;=(R$6+6),$AF54&gt;=R$6),"遅",IF(AND($AC54&lt;=(R$6+6),$AD54&gt;=R$6),IF(AND($AA54&lt;=(R$6+6),$AB54&gt;=R$6),"実","外"),IF(AND($AA54&lt;=(R$6+6),$AB54&gt;=R$6),"計","")))))</f>
        <v/>
      </c>
      <c r="S54" s="93" t="str">
        <f>IF($Y54="","",IF(AND($AG54&gt;=S$6,$AG54&lt;=(S$6+6)),"◆",IF(AND($AE54&lt;=(S$6+6),$AF54&gt;=S$6),"遅",IF(AND($AC54&lt;=(S$6+6),$AD54&gt;=S$6),IF(AND($AA54&lt;=(S$6+6),$AB54&gt;=S$6),"実","外"),IF(AND($AA54&lt;=(S$6+6),$AB54&gt;=S$6),"計","")))))</f>
        <v/>
      </c>
      <c r="T54" s="93" t="str">
        <f>IF($Y54="","",IF(AND($AG54&gt;=T$6,$AG54&lt;=(T$6+6)),"◆",IF(AND($AE54&lt;=(T$6+6),$AF54&gt;=T$6),"遅",IF(AND($AC54&lt;=(T$6+6),$AD54&gt;=T$6),IF(AND($AA54&lt;=(T$6+6),$AB54&gt;=T$6),"実","外"),IF(AND($AA54&lt;=(T$6+6),$AB54&gt;=T$6),"計","")))))</f>
        <v/>
      </c>
      <c r="U54" s="93" t="str">
        <f>IF($Y54="","",IF(AND($AG54&gt;=U$6,$AG54&lt;=(U$6+6)),"◆",IF(AND($AE54&lt;=(U$6+6),$AF54&gt;=U$6),"遅",IF(AND($AC54&lt;=(U$6+6),$AD54&gt;=U$6),IF(AND($AA54&lt;=(U$6+6),$AB54&gt;=U$6),"実","外"),IF(AND($AA54&lt;=(U$6+6),$AB54&gt;=U$6),"計","")))))</f>
        <v/>
      </c>
      <c r="V54" s="93" t="str">
        <f>IF($Y54="","",IF(AND($AG54&gt;=V$6,$AG54&lt;=(V$6+6)),"◆",IF(AND($AE54&lt;=(V$6+6),$AF54&gt;=V$6),"遅",IF(AND($AC54&lt;=(V$6+6),$AD54&gt;=V$6),IF(AND($AA54&lt;=(V$6+6),$AB54&gt;=V$6),"実","外"),IF(AND($AA54&lt;=(V$6+6),$AB54&gt;=V$6),"計","")))))</f>
        <v/>
      </c>
      <c r="W54" s="93" t="str">
        <f>IF($Y54="","",IF(AND($AG54&gt;=W$6,$AG54&lt;=(W$6+6)),"◆",IF(AND($AE54&lt;=(W$6+6),$AF54&gt;=W$6),"遅",IF(AND($AC54&lt;=(W$6+6),$AD54&gt;=W$6),IF(AND($AA54&lt;=(W$6+6),$AB54&gt;=W$6),"実","外"),IF(AND($AA54&lt;=(W$6+6),$AB54&gt;=W$6),"計","")))))</f>
        <v/>
      </c>
      <c r="Y54" t="str">
        <f>IF(47&gt;COUNTIF(tblSteps[週別対象],1),"",IFERROR(MATCH(47,tblSteps[週別順位],0),""))</f>
        <v/>
      </c>
      <c r="Z54" t="str">
        <f>IF($Y54="","",INDEX(tblSteps[案件ID],$Y54)&amp;"")</f>
        <v/>
      </c>
      <c r="AA54" t="str">
        <f>IF($Y54="","",INDEX(tblSteps[計開],$Y54))</f>
        <v/>
      </c>
      <c r="AB54" t="str">
        <f>IF($Y54="","",INDEX(tblSteps[計終],$Y54))</f>
        <v/>
      </c>
      <c r="AC54" t="str">
        <f>IF($Y54="","",INDEX(tblSteps[実開],$Y54))</f>
        <v/>
      </c>
      <c r="AD54" t="str">
        <f>IF($Y54="","",INDEX(tblSteps[実終],$Y54))</f>
        <v/>
      </c>
      <c r="AE54" t="str">
        <f>IF($Y54="","",INDEX(tblSteps[遅開],$Y54))</f>
        <v/>
      </c>
      <c r="AF54" t="str">
        <f>IF($Y54="","",INDEX(tblSteps[遅終],$Y54))</f>
        <v/>
      </c>
      <c r="AG54" t="str">
        <f>IF($Y54="","",INDEX(tblSteps[納期値],$Y54))</f>
        <v/>
      </c>
    </row>
    <row r="55" ht="18" customHeight="1">
      <c r="A55" s="89" t="str">
        <f>IF($Y55="","",INDEX(tblSteps[工程ID],$Y55)&amp;"")</f>
        <v/>
      </c>
      <c r="B55" s="88" t="str">
        <f>IF($Y55="","",IF($Z55=$Z54,"",$Z55&amp;" "&amp;INDEX(tblSteps[案件名],$Y55)))</f>
        <v/>
      </c>
      <c r="C55" s="88" t="str">
        <f>IF($Y55="","",INDEX(tblSteps[工程名],$Y55)&amp;"")</f>
        <v/>
      </c>
      <c r="D55" s="89" t="str">
        <f>IF($Y55="","",INDEX(tblSteps[担当],$Y55)&amp;"")</f>
        <v/>
      </c>
      <c r="E55" s="89" t="str">
        <f>IF($Y55="","",INDEX(tblSteps[状態],$Y55)&amp;"")</f>
        <v/>
      </c>
      <c r="F55" s="90" t="str">
        <f>IF($Y55="","",IF(ISNUMBER(INDEX(tblSteps[進捗率],$Y55)),INDEX(tblSteps[進捗率],$Y55),""))</f>
        <v/>
      </c>
      <c r="G55" s="91" t="str">
        <f>IF($Y55="","",IF(ISNUMBER(INDEX(tblSteps[計画開始日],$Y55)),INDEX(tblSteps[計画開始日],$Y55),"未入力"))</f>
        <v/>
      </c>
      <c r="H55" s="91" t="str">
        <f>IF($Y55="","",IF(ISNUMBER(INDEX(tblSteps[計画終了日],$Y55)),INDEX(tblSteps[計画終了日],$Y55),"未入力"))</f>
        <v/>
      </c>
      <c r="I55" s="91" t="str">
        <f>IF($Y55="","",IF(ISNUMBER(INDEX(tblSteps[完了見込日],$Y55)),INDEX(tblSteps[完了見込日],$Y55),""))</f>
        <v/>
      </c>
      <c r="J55" s="92" t="str">
        <f>IF($Y55="","",INDEX(tblSteps[注意短],$Y55)&amp;"")</f>
        <v/>
      </c>
      <c r="K55" s="93" t="str">
        <f>IF($Y55="","",IF(AND($AG55&gt;=K$6,$AG55&lt;=(K$6+6)),"◆",IF(AND($AE55&lt;=(K$6+6),$AF55&gt;=K$6),"遅",IF(AND($AC55&lt;=(K$6+6),$AD55&gt;=K$6),IF(AND($AA55&lt;=(K$6+6),$AB55&gt;=K$6),"実","外"),IF(AND($AA55&lt;=(K$6+6),$AB55&gt;=K$6),"計","")))))</f>
        <v/>
      </c>
      <c r="L55" s="93" t="str">
        <f>IF($Y55="","",IF(AND($AG55&gt;=L$6,$AG55&lt;=(L$6+6)),"◆",IF(AND($AE55&lt;=(L$6+6),$AF55&gt;=L$6),"遅",IF(AND($AC55&lt;=(L$6+6),$AD55&gt;=L$6),IF(AND($AA55&lt;=(L$6+6),$AB55&gt;=L$6),"実","外"),IF(AND($AA55&lt;=(L$6+6),$AB55&gt;=L$6),"計","")))))</f>
        <v/>
      </c>
      <c r="M55" s="93" t="str">
        <f>IF($Y55="","",IF(AND($AG55&gt;=M$6,$AG55&lt;=(M$6+6)),"◆",IF(AND($AE55&lt;=(M$6+6),$AF55&gt;=M$6),"遅",IF(AND($AC55&lt;=(M$6+6),$AD55&gt;=M$6),IF(AND($AA55&lt;=(M$6+6),$AB55&gt;=M$6),"実","外"),IF(AND($AA55&lt;=(M$6+6),$AB55&gt;=M$6),"計","")))))</f>
        <v/>
      </c>
      <c r="N55" s="93" t="str">
        <f>IF($Y55="","",IF(AND($AG55&gt;=N$6,$AG55&lt;=(N$6+6)),"◆",IF(AND($AE55&lt;=(N$6+6),$AF55&gt;=N$6),"遅",IF(AND($AC55&lt;=(N$6+6),$AD55&gt;=N$6),IF(AND($AA55&lt;=(N$6+6),$AB55&gt;=N$6),"実","外"),IF(AND($AA55&lt;=(N$6+6),$AB55&gt;=N$6),"計","")))))</f>
        <v/>
      </c>
      <c r="O55" s="93" t="str">
        <f>IF($Y55="","",IF(AND($AG55&gt;=O$6,$AG55&lt;=(O$6+6)),"◆",IF(AND($AE55&lt;=(O$6+6),$AF55&gt;=O$6),"遅",IF(AND($AC55&lt;=(O$6+6),$AD55&gt;=O$6),IF(AND($AA55&lt;=(O$6+6),$AB55&gt;=O$6),"実","外"),IF(AND($AA55&lt;=(O$6+6),$AB55&gt;=O$6),"計","")))))</f>
        <v/>
      </c>
      <c r="P55" s="93" t="str">
        <f>IF($Y55="","",IF(AND($AG55&gt;=P$6,$AG55&lt;=(P$6+6)),"◆",IF(AND($AE55&lt;=(P$6+6),$AF55&gt;=P$6),"遅",IF(AND($AC55&lt;=(P$6+6),$AD55&gt;=P$6),IF(AND($AA55&lt;=(P$6+6),$AB55&gt;=P$6),"実","外"),IF(AND($AA55&lt;=(P$6+6),$AB55&gt;=P$6),"計","")))))</f>
        <v/>
      </c>
      <c r="Q55" s="93" t="str">
        <f>IF($Y55="","",IF(AND($AG55&gt;=Q$6,$AG55&lt;=(Q$6+6)),"◆",IF(AND($AE55&lt;=(Q$6+6),$AF55&gt;=Q$6),"遅",IF(AND($AC55&lt;=(Q$6+6),$AD55&gt;=Q$6),IF(AND($AA55&lt;=(Q$6+6),$AB55&gt;=Q$6),"実","外"),IF(AND($AA55&lt;=(Q$6+6),$AB55&gt;=Q$6),"計","")))))</f>
        <v/>
      </c>
      <c r="R55" s="93" t="str">
        <f>IF($Y55="","",IF(AND($AG55&gt;=R$6,$AG55&lt;=(R$6+6)),"◆",IF(AND($AE55&lt;=(R$6+6),$AF55&gt;=R$6),"遅",IF(AND($AC55&lt;=(R$6+6),$AD55&gt;=R$6),IF(AND($AA55&lt;=(R$6+6),$AB55&gt;=R$6),"実","外"),IF(AND($AA55&lt;=(R$6+6),$AB55&gt;=R$6),"計","")))))</f>
        <v/>
      </c>
      <c r="S55" s="93" t="str">
        <f>IF($Y55="","",IF(AND($AG55&gt;=S$6,$AG55&lt;=(S$6+6)),"◆",IF(AND($AE55&lt;=(S$6+6),$AF55&gt;=S$6),"遅",IF(AND($AC55&lt;=(S$6+6),$AD55&gt;=S$6),IF(AND($AA55&lt;=(S$6+6),$AB55&gt;=S$6),"実","外"),IF(AND($AA55&lt;=(S$6+6),$AB55&gt;=S$6),"計","")))))</f>
        <v/>
      </c>
      <c r="T55" s="93" t="str">
        <f>IF($Y55="","",IF(AND($AG55&gt;=T$6,$AG55&lt;=(T$6+6)),"◆",IF(AND($AE55&lt;=(T$6+6),$AF55&gt;=T$6),"遅",IF(AND($AC55&lt;=(T$6+6),$AD55&gt;=T$6),IF(AND($AA55&lt;=(T$6+6),$AB55&gt;=T$6),"実","外"),IF(AND($AA55&lt;=(T$6+6),$AB55&gt;=T$6),"計","")))))</f>
        <v/>
      </c>
      <c r="U55" s="93" t="str">
        <f>IF($Y55="","",IF(AND($AG55&gt;=U$6,$AG55&lt;=(U$6+6)),"◆",IF(AND($AE55&lt;=(U$6+6),$AF55&gt;=U$6),"遅",IF(AND($AC55&lt;=(U$6+6),$AD55&gt;=U$6),IF(AND($AA55&lt;=(U$6+6),$AB55&gt;=U$6),"実","外"),IF(AND($AA55&lt;=(U$6+6),$AB55&gt;=U$6),"計","")))))</f>
        <v/>
      </c>
      <c r="V55" s="93" t="str">
        <f>IF($Y55="","",IF(AND($AG55&gt;=V$6,$AG55&lt;=(V$6+6)),"◆",IF(AND($AE55&lt;=(V$6+6),$AF55&gt;=V$6),"遅",IF(AND($AC55&lt;=(V$6+6),$AD55&gt;=V$6),IF(AND($AA55&lt;=(V$6+6),$AB55&gt;=V$6),"実","外"),IF(AND($AA55&lt;=(V$6+6),$AB55&gt;=V$6),"計","")))))</f>
        <v/>
      </c>
      <c r="W55" s="93" t="str">
        <f>IF($Y55="","",IF(AND($AG55&gt;=W$6,$AG55&lt;=(W$6+6)),"◆",IF(AND($AE55&lt;=(W$6+6),$AF55&gt;=W$6),"遅",IF(AND($AC55&lt;=(W$6+6),$AD55&gt;=W$6),IF(AND($AA55&lt;=(W$6+6),$AB55&gt;=W$6),"実","外"),IF(AND($AA55&lt;=(W$6+6),$AB55&gt;=W$6),"計","")))))</f>
        <v/>
      </c>
      <c r="Y55" t="str">
        <f>IF(48&gt;COUNTIF(tblSteps[週別対象],1),"",IFERROR(MATCH(48,tblSteps[週別順位],0),""))</f>
        <v/>
      </c>
      <c r="Z55" t="str">
        <f>IF($Y55="","",INDEX(tblSteps[案件ID],$Y55)&amp;"")</f>
        <v/>
      </c>
      <c r="AA55" t="str">
        <f>IF($Y55="","",INDEX(tblSteps[計開],$Y55))</f>
        <v/>
      </c>
      <c r="AB55" t="str">
        <f>IF($Y55="","",INDEX(tblSteps[計終],$Y55))</f>
        <v/>
      </c>
      <c r="AC55" t="str">
        <f>IF($Y55="","",INDEX(tblSteps[実開],$Y55))</f>
        <v/>
      </c>
      <c r="AD55" t="str">
        <f>IF($Y55="","",INDEX(tblSteps[実終],$Y55))</f>
        <v/>
      </c>
      <c r="AE55" t="str">
        <f>IF($Y55="","",INDEX(tblSteps[遅開],$Y55))</f>
        <v/>
      </c>
      <c r="AF55" t="str">
        <f>IF($Y55="","",INDEX(tblSteps[遅終],$Y55))</f>
        <v/>
      </c>
      <c r="AG55" t="str">
        <f>IF($Y55="","",INDEX(tblSteps[納期値],$Y55))</f>
        <v/>
      </c>
    </row>
    <row r="56" ht="18" customHeight="1">
      <c r="A56" s="89" t="str">
        <f>IF($Y56="","",INDEX(tblSteps[工程ID],$Y56)&amp;"")</f>
        <v/>
      </c>
      <c r="B56" s="88" t="str">
        <f>IF($Y56="","",IF($Z56=$Z55,"",$Z56&amp;" "&amp;INDEX(tblSteps[案件名],$Y56)))</f>
        <v/>
      </c>
      <c r="C56" s="88" t="str">
        <f>IF($Y56="","",INDEX(tblSteps[工程名],$Y56)&amp;"")</f>
        <v/>
      </c>
      <c r="D56" s="89" t="str">
        <f>IF($Y56="","",INDEX(tblSteps[担当],$Y56)&amp;"")</f>
        <v/>
      </c>
      <c r="E56" s="89" t="str">
        <f>IF($Y56="","",INDEX(tblSteps[状態],$Y56)&amp;"")</f>
        <v/>
      </c>
      <c r="F56" s="90" t="str">
        <f>IF($Y56="","",IF(ISNUMBER(INDEX(tblSteps[進捗率],$Y56)),INDEX(tblSteps[進捗率],$Y56),""))</f>
        <v/>
      </c>
      <c r="G56" s="91" t="str">
        <f>IF($Y56="","",IF(ISNUMBER(INDEX(tblSteps[計画開始日],$Y56)),INDEX(tblSteps[計画開始日],$Y56),"未入力"))</f>
        <v/>
      </c>
      <c r="H56" s="91" t="str">
        <f>IF($Y56="","",IF(ISNUMBER(INDEX(tblSteps[計画終了日],$Y56)),INDEX(tblSteps[計画終了日],$Y56),"未入力"))</f>
        <v/>
      </c>
      <c r="I56" s="91" t="str">
        <f>IF($Y56="","",IF(ISNUMBER(INDEX(tblSteps[完了見込日],$Y56)),INDEX(tblSteps[完了見込日],$Y56),""))</f>
        <v/>
      </c>
      <c r="J56" s="92" t="str">
        <f>IF($Y56="","",INDEX(tblSteps[注意短],$Y56)&amp;"")</f>
        <v/>
      </c>
      <c r="K56" s="93" t="str">
        <f>IF($Y56="","",IF(AND($AG56&gt;=K$6,$AG56&lt;=(K$6+6)),"◆",IF(AND($AE56&lt;=(K$6+6),$AF56&gt;=K$6),"遅",IF(AND($AC56&lt;=(K$6+6),$AD56&gt;=K$6),IF(AND($AA56&lt;=(K$6+6),$AB56&gt;=K$6),"実","外"),IF(AND($AA56&lt;=(K$6+6),$AB56&gt;=K$6),"計","")))))</f>
        <v/>
      </c>
      <c r="L56" s="93" t="str">
        <f>IF($Y56="","",IF(AND($AG56&gt;=L$6,$AG56&lt;=(L$6+6)),"◆",IF(AND($AE56&lt;=(L$6+6),$AF56&gt;=L$6),"遅",IF(AND($AC56&lt;=(L$6+6),$AD56&gt;=L$6),IF(AND($AA56&lt;=(L$6+6),$AB56&gt;=L$6),"実","外"),IF(AND($AA56&lt;=(L$6+6),$AB56&gt;=L$6),"計","")))))</f>
        <v/>
      </c>
      <c r="M56" s="93" t="str">
        <f>IF($Y56="","",IF(AND($AG56&gt;=M$6,$AG56&lt;=(M$6+6)),"◆",IF(AND($AE56&lt;=(M$6+6),$AF56&gt;=M$6),"遅",IF(AND($AC56&lt;=(M$6+6),$AD56&gt;=M$6),IF(AND($AA56&lt;=(M$6+6),$AB56&gt;=M$6),"実","外"),IF(AND($AA56&lt;=(M$6+6),$AB56&gt;=M$6),"計","")))))</f>
        <v/>
      </c>
      <c r="N56" s="93" t="str">
        <f>IF($Y56="","",IF(AND($AG56&gt;=N$6,$AG56&lt;=(N$6+6)),"◆",IF(AND($AE56&lt;=(N$6+6),$AF56&gt;=N$6),"遅",IF(AND($AC56&lt;=(N$6+6),$AD56&gt;=N$6),IF(AND($AA56&lt;=(N$6+6),$AB56&gt;=N$6),"実","外"),IF(AND($AA56&lt;=(N$6+6),$AB56&gt;=N$6),"計","")))))</f>
        <v/>
      </c>
      <c r="O56" s="93" t="str">
        <f>IF($Y56="","",IF(AND($AG56&gt;=O$6,$AG56&lt;=(O$6+6)),"◆",IF(AND($AE56&lt;=(O$6+6),$AF56&gt;=O$6),"遅",IF(AND($AC56&lt;=(O$6+6),$AD56&gt;=O$6),IF(AND($AA56&lt;=(O$6+6),$AB56&gt;=O$6),"実","外"),IF(AND($AA56&lt;=(O$6+6),$AB56&gt;=O$6),"計","")))))</f>
        <v/>
      </c>
      <c r="P56" s="93" t="str">
        <f>IF($Y56="","",IF(AND($AG56&gt;=P$6,$AG56&lt;=(P$6+6)),"◆",IF(AND($AE56&lt;=(P$6+6),$AF56&gt;=P$6),"遅",IF(AND($AC56&lt;=(P$6+6),$AD56&gt;=P$6),IF(AND($AA56&lt;=(P$6+6),$AB56&gt;=P$6),"実","外"),IF(AND($AA56&lt;=(P$6+6),$AB56&gt;=P$6),"計","")))))</f>
        <v/>
      </c>
      <c r="Q56" s="93" t="str">
        <f>IF($Y56="","",IF(AND($AG56&gt;=Q$6,$AG56&lt;=(Q$6+6)),"◆",IF(AND($AE56&lt;=(Q$6+6),$AF56&gt;=Q$6),"遅",IF(AND($AC56&lt;=(Q$6+6),$AD56&gt;=Q$6),IF(AND($AA56&lt;=(Q$6+6),$AB56&gt;=Q$6),"実","外"),IF(AND($AA56&lt;=(Q$6+6),$AB56&gt;=Q$6),"計","")))))</f>
        <v/>
      </c>
      <c r="R56" s="93" t="str">
        <f>IF($Y56="","",IF(AND($AG56&gt;=R$6,$AG56&lt;=(R$6+6)),"◆",IF(AND($AE56&lt;=(R$6+6),$AF56&gt;=R$6),"遅",IF(AND($AC56&lt;=(R$6+6),$AD56&gt;=R$6),IF(AND($AA56&lt;=(R$6+6),$AB56&gt;=R$6),"実","外"),IF(AND($AA56&lt;=(R$6+6),$AB56&gt;=R$6),"計","")))))</f>
        <v/>
      </c>
      <c r="S56" s="93" t="str">
        <f>IF($Y56="","",IF(AND($AG56&gt;=S$6,$AG56&lt;=(S$6+6)),"◆",IF(AND($AE56&lt;=(S$6+6),$AF56&gt;=S$6),"遅",IF(AND($AC56&lt;=(S$6+6),$AD56&gt;=S$6),IF(AND($AA56&lt;=(S$6+6),$AB56&gt;=S$6),"実","外"),IF(AND($AA56&lt;=(S$6+6),$AB56&gt;=S$6),"計","")))))</f>
        <v/>
      </c>
      <c r="T56" s="93" t="str">
        <f>IF($Y56="","",IF(AND($AG56&gt;=T$6,$AG56&lt;=(T$6+6)),"◆",IF(AND($AE56&lt;=(T$6+6),$AF56&gt;=T$6),"遅",IF(AND($AC56&lt;=(T$6+6),$AD56&gt;=T$6),IF(AND($AA56&lt;=(T$6+6),$AB56&gt;=T$6),"実","外"),IF(AND($AA56&lt;=(T$6+6),$AB56&gt;=T$6),"計","")))))</f>
        <v/>
      </c>
      <c r="U56" s="93" t="str">
        <f>IF($Y56="","",IF(AND($AG56&gt;=U$6,$AG56&lt;=(U$6+6)),"◆",IF(AND($AE56&lt;=(U$6+6),$AF56&gt;=U$6),"遅",IF(AND($AC56&lt;=(U$6+6),$AD56&gt;=U$6),IF(AND($AA56&lt;=(U$6+6),$AB56&gt;=U$6),"実","外"),IF(AND($AA56&lt;=(U$6+6),$AB56&gt;=U$6),"計","")))))</f>
        <v/>
      </c>
      <c r="V56" s="93" t="str">
        <f>IF($Y56="","",IF(AND($AG56&gt;=V$6,$AG56&lt;=(V$6+6)),"◆",IF(AND($AE56&lt;=(V$6+6),$AF56&gt;=V$6),"遅",IF(AND($AC56&lt;=(V$6+6),$AD56&gt;=V$6),IF(AND($AA56&lt;=(V$6+6),$AB56&gt;=V$6),"実","外"),IF(AND($AA56&lt;=(V$6+6),$AB56&gt;=V$6),"計","")))))</f>
        <v/>
      </c>
      <c r="W56" s="93" t="str">
        <f>IF($Y56="","",IF(AND($AG56&gt;=W$6,$AG56&lt;=(W$6+6)),"◆",IF(AND($AE56&lt;=(W$6+6),$AF56&gt;=W$6),"遅",IF(AND($AC56&lt;=(W$6+6),$AD56&gt;=W$6),IF(AND($AA56&lt;=(W$6+6),$AB56&gt;=W$6),"実","外"),IF(AND($AA56&lt;=(W$6+6),$AB56&gt;=W$6),"計","")))))</f>
        <v/>
      </c>
      <c r="Y56" t="str">
        <f>IF(49&gt;COUNTIF(tblSteps[週別対象],1),"",IFERROR(MATCH(49,tblSteps[週別順位],0),""))</f>
        <v/>
      </c>
      <c r="Z56" t="str">
        <f>IF($Y56="","",INDEX(tblSteps[案件ID],$Y56)&amp;"")</f>
        <v/>
      </c>
      <c r="AA56" t="str">
        <f>IF($Y56="","",INDEX(tblSteps[計開],$Y56))</f>
        <v/>
      </c>
      <c r="AB56" t="str">
        <f>IF($Y56="","",INDEX(tblSteps[計終],$Y56))</f>
        <v/>
      </c>
      <c r="AC56" t="str">
        <f>IF($Y56="","",INDEX(tblSteps[実開],$Y56))</f>
        <v/>
      </c>
      <c r="AD56" t="str">
        <f>IF($Y56="","",INDEX(tblSteps[実終],$Y56))</f>
        <v/>
      </c>
      <c r="AE56" t="str">
        <f>IF($Y56="","",INDEX(tblSteps[遅開],$Y56))</f>
        <v/>
      </c>
      <c r="AF56" t="str">
        <f>IF($Y56="","",INDEX(tblSteps[遅終],$Y56))</f>
        <v/>
      </c>
      <c r="AG56" t="str">
        <f>IF($Y56="","",INDEX(tblSteps[納期値],$Y56))</f>
        <v/>
      </c>
    </row>
    <row r="57" ht="18" customHeight="1">
      <c r="A57" s="89" t="str">
        <f>IF($Y57="","",INDEX(tblSteps[工程ID],$Y57)&amp;"")</f>
        <v/>
      </c>
      <c r="B57" s="88" t="str">
        <f>IF($Y57="","",IF($Z57=$Z56,"",$Z57&amp;" "&amp;INDEX(tblSteps[案件名],$Y57)))</f>
        <v/>
      </c>
      <c r="C57" s="88" t="str">
        <f>IF($Y57="","",INDEX(tblSteps[工程名],$Y57)&amp;"")</f>
        <v/>
      </c>
      <c r="D57" s="89" t="str">
        <f>IF($Y57="","",INDEX(tblSteps[担当],$Y57)&amp;"")</f>
        <v/>
      </c>
      <c r="E57" s="89" t="str">
        <f>IF($Y57="","",INDEX(tblSteps[状態],$Y57)&amp;"")</f>
        <v/>
      </c>
      <c r="F57" s="90" t="str">
        <f>IF($Y57="","",IF(ISNUMBER(INDEX(tblSteps[進捗率],$Y57)),INDEX(tblSteps[進捗率],$Y57),""))</f>
        <v/>
      </c>
      <c r="G57" s="91" t="str">
        <f>IF($Y57="","",IF(ISNUMBER(INDEX(tblSteps[計画開始日],$Y57)),INDEX(tblSteps[計画開始日],$Y57),"未入力"))</f>
        <v/>
      </c>
      <c r="H57" s="91" t="str">
        <f>IF($Y57="","",IF(ISNUMBER(INDEX(tblSteps[計画終了日],$Y57)),INDEX(tblSteps[計画終了日],$Y57),"未入力"))</f>
        <v/>
      </c>
      <c r="I57" s="91" t="str">
        <f>IF($Y57="","",IF(ISNUMBER(INDEX(tblSteps[完了見込日],$Y57)),INDEX(tblSteps[完了見込日],$Y57),""))</f>
        <v/>
      </c>
      <c r="J57" s="92" t="str">
        <f>IF($Y57="","",INDEX(tblSteps[注意短],$Y57)&amp;"")</f>
        <v/>
      </c>
      <c r="K57" s="93" t="str">
        <f>IF($Y57="","",IF(AND($AG57&gt;=K$6,$AG57&lt;=(K$6+6)),"◆",IF(AND($AE57&lt;=(K$6+6),$AF57&gt;=K$6),"遅",IF(AND($AC57&lt;=(K$6+6),$AD57&gt;=K$6),IF(AND($AA57&lt;=(K$6+6),$AB57&gt;=K$6),"実","外"),IF(AND($AA57&lt;=(K$6+6),$AB57&gt;=K$6),"計","")))))</f>
        <v/>
      </c>
      <c r="L57" s="93" t="str">
        <f>IF($Y57="","",IF(AND($AG57&gt;=L$6,$AG57&lt;=(L$6+6)),"◆",IF(AND($AE57&lt;=(L$6+6),$AF57&gt;=L$6),"遅",IF(AND($AC57&lt;=(L$6+6),$AD57&gt;=L$6),IF(AND($AA57&lt;=(L$6+6),$AB57&gt;=L$6),"実","外"),IF(AND($AA57&lt;=(L$6+6),$AB57&gt;=L$6),"計","")))))</f>
        <v/>
      </c>
      <c r="M57" s="93" t="str">
        <f>IF($Y57="","",IF(AND($AG57&gt;=M$6,$AG57&lt;=(M$6+6)),"◆",IF(AND($AE57&lt;=(M$6+6),$AF57&gt;=M$6),"遅",IF(AND($AC57&lt;=(M$6+6),$AD57&gt;=M$6),IF(AND($AA57&lt;=(M$6+6),$AB57&gt;=M$6),"実","外"),IF(AND($AA57&lt;=(M$6+6),$AB57&gt;=M$6),"計","")))))</f>
        <v/>
      </c>
      <c r="N57" s="93" t="str">
        <f>IF($Y57="","",IF(AND($AG57&gt;=N$6,$AG57&lt;=(N$6+6)),"◆",IF(AND($AE57&lt;=(N$6+6),$AF57&gt;=N$6),"遅",IF(AND($AC57&lt;=(N$6+6),$AD57&gt;=N$6),IF(AND($AA57&lt;=(N$6+6),$AB57&gt;=N$6),"実","外"),IF(AND($AA57&lt;=(N$6+6),$AB57&gt;=N$6),"計","")))))</f>
        <v/>
      </c>
      <c r="O57" s="93" t="str">
        <f>IF($Y57="","",IF(AND($AG57&gt;=O$6,$AG57&lt;=(O$6+6)),"◆",IF(AND($AE57&lt;=(O$6+6),$AF57&gt;=O$6),"遅",IF(AND($AC57&lt;=(O$6+6),$AD57&gt;=O$6),IF(AND($AA57&lt;=(O$6+6),$AB57&gt;=O$6),"実","外"),IF(AND($AA57&lt;=(O$6+6),$AB57&gt;=O$6),"計","")))))</f>
        <v/>
      </c>
      <c r="P57" s="93" t="str">
        <f>IF($Y57="","",IF(AND($AG57&gt;=P$6,$AG57&lt;=(P$6+6)),"◆",IF(AND($AE57&lt;=(P$6+6),$AF57&gt;=P$6),"遅",IF(AND($AC57&lt;=(P$6+6),$AD57&gt;=P$6),IF(AND($AA57&lt;=(P$6+6),$AB57&gt;=P$6),"実","外"),IF(AND($AA57&lt;=(P$6+6),$AB57&gt;=P$6),"計","")))))</f>
        <v/>
      </c>
      <c r="Q57" s="93" t="str">
        <f>IF($Y57="","",IF(AND($AG57&gt;=Q$6,$AG57&lt;=(Q$6+6)),"◆",IF(AND($AE57&lt;=(Q$6+6),$AF57&gt;=Q$6),"遅",IF(AND($AC57&lt;=(Q$6+6),$AD57&gt;=Q$6),IF(AND($AA57&lt;=(Q$6+6),$AB57&gt;=Q$6),"実","外"),IF(AND($AA57&lt;=(Q$6+6),$AB57&gt;=Q$6),"計","")))))</f>
        <v/>
      </c>
      <c r="R57" s="93" t="str">
        <f>IF($Y57="","",IF(AND($AG57&gt;=R$6,$AG57&lt;=(R$6+6)),"◆",IF(AND($AE57&lt;=(R$6+6),$AF57&gt;=R$6),"遅",IF(AND($AC57&lt;=(R$6+6),$AD57&gt;=R$6),IF(AND($AA57&lt;=(R$6+6),$AB57&gt;=R$6),"実","外"),IF(AND($AA57&lt;=(R$6+6),$AB57&gt;=R$6),"計","")))))</f>
        <v/>
      </c>
      <c r="S57" s="93" t="str">
        <f>IF($Y57="","",IF(AND($AG57&gt;=S$6,$AG57&lt;=(S$6+6)),"◆",IF(AND($AE57&lt;=(S$6+6),$AF57&gt;=S$6),"遅",IF(AND($AC57&lt;=(S$6+6),$AD57&gt;=S$6),IF(AND($AA57&lt;=(S$6+6),$AB57&gt;=S$6),"実","外"),IF(AND($AA57&lt;=(S$6+6),$AB57&gt;=S$6),"計","")))))</f>
        <v/>
      </c>
      <c r="T57" s="93" t="str">
        <f>IF($Y57="","",IF(AND($AG57&gt;=T$6,$AG57&lt;=(T$6+6)),"◆",IF(AND($AE57&lt;=(T$6+6),$AF57&gt;=T$6),"遅",IF(AND($AC57&lt;=(T$6+6),$AD57&gt;=T$6),IF(AND($AA57&lt;=(T$6+6),$AB57&gt;=T$6),"実","外"),IF(AND($AA57&lt;=(T$6+6),$AB57&gt;=T$6),"計","")))))</f>
        <v/>
      </c>
      <c r="U57" s="93" t="str">
        <f>IF($Y57="","",IF(AND($AG57&gt;=U$6,$AG57&lt;=(U$6+6)),"◆",IF(AND($AE57&lt;=(U$6+6),$AF57&gt;=U$6),"遅",IF(AND($AC57&lt;=(U$6+6),$AD57&gt;=U$6),IF(AND($AA57&lt;=(U$6+6),$AB57&gt;=U$6),"実","外"),IF(AND($AA57&lt;=(U$6+6),$AB57&gt;=U$6),"計","")))))</f>
        <v/>
      </c>
      <c r="V57" s="93" t="str">
        <f>IF($Y57="","",IF(AND($AG57&gt;=V$6,$AG57&lt;=(V$6+6)),"◆",IF(AND($AE57&lt;=(V$6+6),$AF57&gt;=V$6),"遅",IF(AND($AC57&lt;=(V$6+6),$AD57&gt;=V$6),IF(AND($AA57&lt;=(V$6+6),$AB57&gt;=V$6),"実","外"),IF(AND($AA57&lt;=(V$6+6),$AB57&gt;=V$6),"計","")))))</f>
        <v/>
      </c>
      <c r="W57" s="93" t="str">
        <f>IF($Y57="","",IF(AND($AG57&gt;=W$6,$AG57&lt;=(W$6+6)),"◆",IF(AND($AE57&lt;=(W$6+6),$AF57&gt;=W$6),"遅",IF(AND($AC57&lt;=(W$6+6),$AD57&gt;=W$6),IF(AND($AA57&lt;=(W$6+6),$AB57&gt;=W$6),"実","外"),IF(AND($AA57&lt;=(W$6+6),$AB57&gt;=W$6),"計","")))))</f>
        <v/>
      </c>
      <c r="Y57" t="str">
        <f>IF(50&gt;COUNTIF(tblSteps[週別対象],1),"",IFERROR(MATCH(50,tblSteps[週別順位],0),""))</f>
        <v/>
      </c>
      <c r="Z57" t="str">
        <f>IF($Y57="","",INDEX(tblSteps[案件ID],$Y57)&amp;"")</f>
        <v/>
      </c>
      <c r="AA57" t="str">
        <f>IF($Y57="","",INDEX(tblSteps[計開],$Y57))</f>
        <v/>
      </c>
      <c r="AB57" t="str">
        <f>IF($Y57="","",INDEX(tblSteps[計終],$Y57))</f>
        <v/>
      </c>
      <c r="AC57" t="str">
        <f>IF($Y57="","",INDEX(tblSteps[実開],$Y57))</f>
        <v/>
      </c>
      <c r="AD57" t="str">
        <f>IF($Y57="","",INDEX(tblSteps[実終],$Y57))</f>
        <v/>
      </c>
      <c r="AE57" t="str">
        <f>IF($Y57="","",INDEX(tblSteps[遅開],$Y57))</f>
        <v/>
      </c>
      <c r="AF57" t="str">
        <f>IF($Y57="","",INDEX(tblSteps[遅終],$Y57))</f>
        <v/>
      </c>
      <c r="AG57" t="str">
        <f>IF($Y57="","",INDEX(tblSteps[納期値],$Y57))</f>
        <v/>
      </c>
    </row>
    <row r="58" ht="18" customHeight="1">
      <c r="A58" s="89" t="str">
        <f>IF($Y58="","",INDEX(tblSteps[工程ID],$Y58)&amp;"")</f>
        <v/>
      </c>
      <c r="B58" s="88" t="str">
        <f>IF($Y58="","",IF($Z58=$Z57,"",$Z58&amp;" "&amp;INDEX(tblSteps[案件名],$Y58)))</f>
        <v/>
      </c>
      <c r="C58" s="88" t="str">
        <f>IF($Y58="","",INDEX(tblSteps[工程名],$Y58)&amp;"")</f>
        <v/>
      </c>
      <c r="D58" s="89" t="str">
        <f>IF($Y58="","",INDEX(tblSteps[担当],$Y58)&amp;"")</f>
        <v/>
      </c>
      <c r="E58" s="89" t="str">
        <f>IF($Y58="","",INDEX(tblSteps[状態],$Y58)&amp;"")</f>
        <v/>
      </c>
      <c r="F58" s="90" t="str">
        <f>IF($Y58="","",IF(ISNUMBER(INDEX(tblSteps[進捗率],$Y58)),INDEX(tblSteps[進捗率],$Y58),""))</f>
        <v/>
      </c>
      <c r="G58" s="91" t="str">
        <f>IF($Y58="","",IF(ISNUMBER(INDEX(tblSteps[計画開始日],$Y58)),INDEX(tblSteps[計画開始日],$Y58),"未入力"))</f>
        <v/>
      </c>
      <c r="H58" s="91" t="str">
        <f>IF($Y58="","",IF(ISNUMBER(INDEX(tblSteps[計画終了日],$Y58)),INDEX(tblSteps[計画終了日],$Y58),"未入力"))</f>
        <v/>
      </c>
      <c r="I58" s="91" t="str">
        <f>IF($Y58="","",IF(ISNUMBER(INDEX(tblSteps[完了見込日],$Y58)),INDEX(tblSteps[完了見込日],$Y58),""))</f>
        <v/>
      </c>
      <c r="J58" s="92" t="str">
        <f>IF($Y58="","",INDEX(tblSteps[注意短],$Y58)&amp;"")</f>
        <v/>
      </c>
      <c r="K58" s="93" t="str">
        <f>IF($Y58="","",IF(AND($AG58&gt;=K$6,$AG58&lt;=(K$6+6)),"◆",IF(AND($AE58&lt;=(K$6+6),$AF58&gt;=K$6),"遅",IF(AND($AC58&lt;=(K$6+6),$AD58&gt;=K$6),IF(AND($AA58&lt;=(K$6+6),$AB58&gt;=K$6),"実","外"),IF(AND($AA58&lt;=(K$6+6),$AB58&gt;=K$6),"計","")))))</f>
        <v/>
      </c>
      <c r="L58" s="93" t="str">
        <f>IF($Y58="","",IF(AND($AG58&gt;=L$6,$AG58&lt;=(L$6+6)),"◆",IF(AND($AE58&lt;=(L$6+6),$AF58&gt;=L$6),"遅",IF(AND($AC58&lt;=(L$6+6),$AD58&gt;=L$6),IF(AND($AA58&lt;=(L$6+6),$AB58&gt;=L$6),"実","外"),IF(AND($AA58&lt;=(L$6+6),$AB58&gt;=L$6),"計","")))))</f>
        <v/>
      </c>
      <c r="M58" s="93" t="str">
        <f>IF($Y58="","",IF(AND($AG58&gt;=M$6,$AG58&lt;=(M$6+6)),"◆",IF(AND($AE58&lt;=(M$6+6),$AF58&gt;=M$6),"遅",IF(AND($AC58&lt;=(M$6+6),$AD58&gt;=M$6),IF(AND($AA58&lt;=(M$6+6),$AB58&gt;=M$6),"実","外"),IF(AND($AA58&lt;=(M$6+6),$AB58&gt;=M$6),"計","")))))</f>
        <v/>
      </c>
      <c r="N58" s="93" t="str">
        <f>IF($Y58="","",IF(AND($AG58&gt;=N$6,$AG58&lt;=(N$6+6)),"◆",IF(AND($AE58&lt;=(N$6+6),$AF58&gt;=N$6),"遅",IF(AND($AC58&lt;=(N$6+6),$AD58&gt;=N$6),IF(AND($AA58&lt;=(N$6+6),$AB58&gt;=N$6),"実","外"),IF(AND($AA58&lt;=(N$6+6),$AB58&gt;=N$6),"計","")))))</f>
        <v/>
      </c>
      <c r="O58" s="93" t="str">
        <f>IF($Y58="","",IF(AND($AG58&gt;=O$6,$AG58&lt;=(O$6+6)),"◆",IF(AND($AE58&lt;=(O$6+6),$AF58&gt;=O$6),"遅",IF(AND($AC58&lt;=(O$6+6),$AD58&gt;=O$6),IF(AND($AA58&lt;=(O$6+6),$AB58&gt;=O$6),"実","外"),IF(AND($AA58&lt;=(O$6+6),$AB58&gt;=O$6),"計","")))))</f>
        <v/>
      </c>
      <c r="P58" s="93" t="str">
        <f>IF($Y58="","",IF(AND($AG58&gt;=P$6,$AG58&lt;=(P$6+6)),"◆",IF(AND($AE58&lt;=(P$6+6),$AF58&gt;=P$6),"遅",IF(AND($AC58&lt;=(P$6+6),$AD58&gt;=P$6),IF(AND($AA58&lt;=(P$6+6),$AB58&gt;=P$6),"実","外"),IF(AND($AA58&lt;=(P$6+6),$AB58&gt;=P$6),"計","")))))</f>
        <v/>
      </c>
      <c r="Q58" s="93" t="str">
        <f>IF($Y58="","",IF(AND($AG58&gt;=Q$6,$AG58&lt;=(Q$6+6)),"◆",IF(AND($AE58&lt;=(Q$6+6),$AF58&gt;=Q$6),"遅",IF(AND($AC58&lt;=(Q$6+6),$AD58&gt;=Q$6),IF(AND($AA58&lt;=(Q$6+6),$AB58&gt;=Q$6),"実","外"),IF(AND($AA58&lt;=(Q$6+6),$AB58&gt;=Q$6),"計","")))))</f>
        <v/>
      </c>
      <c r="R58" s="93" t="str">
        <f>IF($Y58="","",IF(AND($AG58&gt;=R$6,$AG58&lt;=(R$6+6)),"◆",IF(AND($AE58&lt;=(R$6+6),$AF58&gt;=R$6),"遅",IF(AND($AC58&lt;=(R$6+6),$AD58&gt;=R$6),IF(AND($AA58&lt;=(R$6+6),$AB58&gt;=R$6),"実","外"),IF(AND($AA58&lt;=(R$6+6),$AB58&gt;=R$6),"計","")))))</f>
        <v/>
      </c>
      <c r="S58" s="93" t="str">
        <f>IF($Y58="","",IF(AND($AG58&gt;=S$6,$AG58&lt;=(S$6+6)),"◆",IF(AND($AE58&lt;=(S$6+6),$AF58&gt;=S$6),"遅",IF(AND($AC58&lt;=(S$6+6),$AD58&gt;=S$6),IF(AND($AA58&lt;=(S$6+6),$AB58&gt;=S$6),"実","外"),IF(AND($AA58&lt;=(S$6+6),$AB58&gt;=S$6),"計","")))))</f>
        <v/>
      </c>
      <c r="T58" s="93" t="str">
        <f>IF($Y58="","",IF(AND($AG58&gt;=T$6,$AG58&lt;=(T$6+6)),"◆",IF(AND($AE58&lt;=(T$6+6),$AF58&gt;=T$6),"遅",IF(AND($AC58&lt;=(T$6+6),$AD58&gt;=T$6),IF(AND($AA58&lt;=(T$6+6),$AB58&gt;=T$6),"実","外"),IF(AND($AA58&lt;=(T$6+6),$AB58&gt;=T$6),"計","")))))</f>
        <v/>
      </c>
      <c r="U58" s="93" t="str">
        <f>IF($Y58="","",IF(AND($AG58&gt;=U$6,$AG58&lt;=(U$6+6)),"◆",IF(AND($AE58&lt;=(U$6+6),$AF58&gt;=U$6),"遅",IF(AND($AC58&lt;=(U$6+6),$AD58&gt;=U$6),IF(AND($AA58&lt;=(U$6+6),$AB58&gt;=U$6),"実","外"),IF(AND($AA58&lt;=(U$6+6),$AB58&gt;=U$6),"計","")))))</f>
        <v/>
      </c>
      <c r="V58" s="93" t="str">
        <f>IF($Y58="","",IF(AND($AG58&gt;=V$6,$AG58&lt;=(V$6+6)),"◆",IF(AND($AE58&lt;=(V$6+6),$AF58&gt;=V$6),"遅",IF(AND($AC58&lt;=(V$6+6),$AD58&gt;=V$6),IF(AND($AA58&lt;=(V$6+6),$AB58&gt;=V$6),"実","外"),IF(AND($AA58&lt;=(V$6+6),$AB58&gt;=V$6),"計","")))))</f>
        <v/>
      </c>
      <c r="W58" s="93" t="str">
        <f>IF($Y58="","",IF(AND($AG58&gt;=W$6,$AG58&lt;=(W$6+6)),"◆",IF(AND($AE58&lt;=(W$6+6),$AF58&gt;=W$6),"遅",IF(AND($AC58&lt;=(W$6+6),$AD58&gt;=W$6),IF(AND($AA58&lt;=(W$6+6),$AB58&gt;=W$6),"実","外"),IF(AND($AA58&lt;=(W$6+6),$AB58&gt;=W$6),"計","")))))</f>
        <v/>
      </c>
      <c r="Y58" t="str">
        <f>IF(51&gt;COUNTIF(tblSteps[週別対象],1),"",IFERROR(MATCH(51,tblSteps[週別順位],0),""))</f>
        <v/>
      </c>
      <c r="Z58" t="str">
        <f>IF($Y58="","",INDEX(tblSteps[案件ID],$Y58)&amp;"")</f>
        <v/>
      </c>
      <c r="AA58" t="str">
        <f>IF($Y58="","",INDEX(tblSteps[計開],$Y58))</f>
        <v/>
      </c>
      <c r="AB58" t="str">
        <f>IF($Y58="","",INDEX(tblSteps[計終],$Y58))</f>
        <v/>
      </c>
      <c r="AC58" t="str">
        <f>IF($Y58="","",INDEX(tblSteps[実開],$Y58))</f>
        <v/>
      </c>
      <c r="AD58" t="str">
        <f>IF($Y58="","",INDEX(tblSteps[実終],$Y58))</f>
        <v/>
      </c>
      <c r="AE58" t="str">
        <f>IF($Y58="","",INDEX(tblSteps[遅開],$Y58))</f>
        <v/>
      </c>
      <c r="AF58" t="str">
        <f>IF($Y58="","",INDEX(tblSteps[遅終],$Y58))</f>
        <v/>
      </c>
      <c r="AG58" t="str">
        <f>IF($Y58="","",INDEX(tblSteps[納期値],$Y58))</f>
        <v/>
      </c>
    </row>
    <row r="59" ht="18" customHeight="1">
      <c r="A59" s="89" t="str">
        <f>IF($Y59="","",INDEX(tblSteps[工程ID],$Y59)&amp;"")</f>
        <v/>
      </c>
      <c r="B59" s="88" t="str">
        <f>IF($Y59="","",IF($Z59=$Z58,"",$Z59&amp;" "&amp;INDEX(tblSteps[案件名],$Y59)))</f>
        <v/>
      </c>
      <c r="C59" s="88" t="str">
        <f>IF($Y59="","",INDEX(tblSteps[工程名],$Y59)&amp;"")</f>
        <v/>
      </c>
      <c r="D59" s="89" t="str">
        <f>IF($Y59="","",INDEX(tblSteps[担当],$Y59)&amp;"")</f>
        <v/>
      </c>
      <c r="E59" s="89" t="str">
        <f>IF($Y59="","",INDEX(tblSteps[状態],$Y59)&amp;"")</f>
        <v/>
      </c>
      <c r="F59" s="90" t="str">
        <f>IF($Y59="","",IF(ISNUMBER(INDEX(tblSteps[進捗率],$Y59)),INDEX(tblSteps[進捗率],$Y59),""))</f>
        <v/>
      </c>
      <c r="G59" s="91" t="str">
        <f>IF($Y59="","",IF(ISNUMBER(INDEX(tblSteps[計画開始日],$Y59)),INDEX(tblSteps[計画開始日],$Y59),"未入力"))</f>
        <v/>
      </c>
      <c r="H59" s="91" t="str">
        <f>IF($Y59="","",IF(ISNUMBER(INDEX(tblSteps[計画終了日],$Y59)),INDEX(tblSteps[計画終了日],$Y59),"未入力"))</f>
        <v/>
      </c>
      <c r="I59" s="91" t="str">
        <f>IF($Y59="","",IF(ISNUMBER(INDEX(tblSteps[完了見込日],$Y59)),INDEX(tblSteps[完了見込日],$Y59),""))</f>
        <v/>
      </c>
      <c r="J59" s="92" t="str">
        <f>IF($Y59="","",INDEX(tblSteps[注意短],$Y59)&amp;"")</f>
        <v/>
      </c>
      <c r="K59" s="93" t="str">
        <f>IF($Y59="","",IF(AND($AG59&gt;=K$6,$AG59&lt;=(K$6+6)),"◆",IF(AND($AE59&lt;=(K$6+6),$AF59&gt;=K$6),"遅",IF(AND($AC59&lt;=(K$6+6),$AD59&gt;=K$6),IF(AND($AA59&lt;=(K$6+6),$AB59&gt;=K$6),"実","外"),IF(AND($AA59&lt;=(K$6+6),$AB59&gt;=K$6),"計","")))))</f>
        <v/>
      </c>
      <c r="L59" s="93" t="str">
        <f>IF($Y59="","",IF(AND($AG59&gt;=L$6,$AG59&lt;=(L$6+6)),"◆",IF(AND($AE59&lt;=(L$6+6),$AF59&gt;=L$6),"遅",IF(AND($AC59&lt;=(L$6+6),$AD59&gt;=L$6),IF(AND($AA59&lt;=(L$6+6),$AB59&gt;=L$6),"実","外"),IF(AND($AA59&lt;=(L$6+6),$AB59&gt;=L$6),"計","")))))</f>
        <v/>
      </c>
      <c r="M59" s="93" t="str">
        <f>IF($Y59="","",IF(AND($AG59&gt;=M$6,$AG59&lt;=(M$6+6)),"◆",IF(AND($AE59&lt;=(M$6+6),$AF59&gt;=M$6),"遅",IF(AND($AC59&lt;=(M$6+6),$AD59&gt;=M$6),IF(AND($AA59&lt;=(M$6+6),$AB59&gt;=M$6),"実","外"),IF(AND($AA59&lt;=(M$6+6),$AB59&gt;=M$6),"計","")))))</f>
        <v/>
      </c>
      <c r="N59" s="93" t="str">
        <f>IF($Y59="","",IF(AND($AG59&gt;=N$6,$AG59&lt;=(N$6+6)),"◆",IF(AND($AE59&lt;=(N$6+6),$AF59&gt;=N$6),"遅",IF(AND($AC59&lt;=(N$6+6),$AD59&gt;=N$6),IF(AND($AA59&lt;=(N$6+6),$AB59&gt;=N$6),"実","外"),IF(AND($AA59&lt;=(N$6+6),$AB59&gt;=N$6),"計","")))))</f>
        <v/>
      </c>
      <c r="O59" s="93" t="str">
        <f>IF($Y59="","",IF(AND($AG59&gt;=O$6,$AG59&lt;=(O$6+6)),"◆",IF(AND($AE59&lt;=(O$6+6),$AF59&gt;=O$6),"遅",IF(AND($AC59&lt;=(O$6+6),$AD59&gt;=O$6),IF(AND($AA59&lt;=(O$6+6),$AB59&gt;=O$6),"実","外"),IF(AND($AA59&lt;=(O$6+6),$AB59&gt;=O$6),"計","")))))</f>
        <v/>
      </c>
      <c r="P59" s="93" t="str">
        <f>IF($Y59="","",IF(AND($AG59&gt;=P$6,$AG59&lt;=(P$6+6)),"◆",IF(AND($AE59&lt;=(P$6+6),$AF59&gt;=P$6),"遅",IF(AND($AC59&lt;=(P$6+6),$AD59&gt;=P$6),IF(AND($AA59&lt;=(P$6+6),$AB59&gt;=P$6),"実","外"),IF(AND($AA59&lt;=(P$6+6),$AB59&gt;=P$6),"計","")))))</f>
        <v/>
      </c>
      <c r="Q59" s="93" t="str">
        <f>IF($Y59="","",IF(AND($AG59&gt;=Q$6,$AG59&lt;=(Q$6+6)),"◆",IF(AND($AE59&lt;=(Q$6+6),$AF59&gt;=Q$6),"遅",IF(AND($AC59&lt;=(Q$6+6),$AD59&gt;=Q$6),IF(AND($AA59&lt;=(Q$6+6),$AB59&gt;=Q$6),"実","外"),IF(AND($AA59&lt;=(Q$6+6),$AB59&gt;=Q$6),"計","")))))</f>
        <v/>
      </c>
      <c r="R59" s="93" t="str">
        <f>IF($Y59="","",IF(AND($AG59&gt;=R$6,$AG59&lt;=(R$6+6)),"◆",IF(AND($AE59&lt;=(R$6+6),$AF59&gt;=R$6),"遅",IF(AND($AC59&lt;=(R$6+6),$AD59&gt;=R$6),IF(AND($AA59&lt;=(R$6+6),$AB59&gt;=R$6),"実","外"),IF(AND($AA59&lt;=(R$6+6),$AB59&gt;=R$6),"計","")))))</f>
        <v/>
      </c>
      <c r="S59" s="93" t="str">
        <f>IF($Y59="","",IF(AND($AG59&gt;=S$6,$AG59&lt;=(S$6+6)),"◆",IF(AND($AE59&lt;=(S$6+6),$AF59&gt;=S$6),"遅",IF(AND($AC59&lt;=(S$6+6),$AD59&gt;=S$6),IF(AND($AA59&lt;=(S$6+6),$AB59&gt;=S$6),"実","外"),IF(AND($AA59&lt;=(S$6+6),$AB59&gt;=S$6),"計","")))))</f>
        <v/>
      </c>
      <c r="T59" s="93" t="str">
        <f>IF($Y59="","",IF(AND($AG59&gt;=T$6,$AG59&lt;=(T$6+6)),"◆",IF(AND($AE59&lt;=(T$6+6),$AF59&gt;=T$6),"遅",IF(AND($AC59&lt;=(T$6+6),$AD59&gt;=T$6),IF(AND($AA59&lt;=(T$6+6),$AB59&gt;=T$6),"実","外"),IF(AND($AA59&lt;=(T$6+6),$AB59&gt;=T$6),"計","")))))</f>
        <v/>
      </c>
      <c r="U59" s="93" t="str">
        <f>IF($Y59="","",IF(AND($AG59&gt;=U$6,$AG59&lt;=(U$6+6)),"◆",IF(AND($AE59&lt;=(U$6+6),$AF59&gt;=U$6),"遅",IF(AND($AC59&lt;=(U$6+6),$AD59&gt;=U$6),IF(AND($AA59&lt;=(U$6+6),$AB59&gt;=U$6),"実","外"),IF(AND($AA59&lt;=(U$6+6),$AB59&gt;=U$6),"計","")))))</f>
        <v/>
      </c>
      <c r="V59" s="93" t="str">
        <f>IF($Y59="","",IF(AND($AG59&gt;=V$6,$AG59&lt;=(V$6+6)),"◆",IF(AND($AE59&lt;=(V$6+6),$AF59&gt;=V$6),"遅",IF(AND($AC59&lt;=(V$6+6),$AD59&gt;=V$6),IF(AND($AA59&lt;=(V$6+6),$AB59&gt;=V$6),"実","外"),IF(AND($AA59&lt;=(V$6+6),$AB59&gt;=V$6),"計","")))))</f>
        <v/>
      </c>
      <c r="W59" s="93" t="str">
        <f>IF($Y59="","",IF(AND($AG59&gt;=W$6,$AG59&lt;=(W$6+6)),"◆",IF(AND($AE59&lt;=(W$6+6),$AF59&gt;=W$6),"遅",IF(AND($AC59&lt;=(W$6+6),$AD59&gt;=W$6),IF(AND($AA59&lt;=(W$6+6),$AB59&gt;=W$6),"実","外"),IF(AND($AA59&lt;=(W$6+6),$AB59&gt;=W$6),"計","")))))</f>
        <v/>
      </c>
      <c r="Y59" t="str">
        <f>IF(52&gt;COUNTIF(tblSteps[週別対象],1),"",IFERROR(MATCH(52,tblSteps[週別順位],0),""))</f>
        <v/>
      </c>
      <c r="Z59" t="str">
        <f>IF($Y59="","",INDEX(tblSteps[案件ID],$Y59)&amp;"")</f>
        <v/>
      </c>
      <c r="AA59" t="str">
        <f>IF($Y59="","",INDEX(tblSteps[計開],$Y59))</f>
        <v/>
      </c>
      <c r="AB59" t="str">
        <f>IF($Y59="","",INDEX(tblSteps[計終],$Y59))</f>
        <v/>
      </c>
      <c r="AC59" t="str">
        <f>IF($Y59="","",INDEX(tblSteps[実開],$Y59))</f>
        <v/>
      </c>
      <c r="AD59" t="str">
        <f>IF($Y59="","",INDEX(tblSteps[実終],$Y59))</f>
        <v/>
      </c>
      <c r="AE59" t="str">
        <f>IF($Y59="","",INDEX(tblSteps[遅開],$Y59))</f>
        <v/>
      </c>
      <c r="AF59" t="str">
        <f>IF($Y59="","",INDEX(tblSteps[遅終],$Y59))</f>
        <v/>
      </c>
      <c r="AG59" t="str">
        <f>IF($Y59="","",INDEX(tblSteps[納期値],$Y59))</f>
        <v/>
      </c>
    </row>
    <row r="60" ht="18" customHeight="1">
      <c r="A60" s="89" t="str">
        <f>IF($Y60="","",INDEX(tblSteps[工程ID],$Y60)&amp;"")</f>
        <v/>
      </c>
      <c r="B60" s="88" t="str">
        <f>IF($Y60="","",IF($Z60=$Z59,"",$Z60&amp;" "&amp;INDEX(tblSteps[案件名],$Y60)))</f>
        <v/>
      </c>
      <c r="C60" s="88" t="str">
        <f>IF($Y60="","",INDEX(tblSteps[工程名],$Y60)&amp;"")</f>
        <v/>
      </c>
      <c r="D60" s="89" t="str">
        <f>IF($Y60="","",INDEX(tblSteps[担当],$Y60)&amp;"")</f>
        <v/>
      </c>
      <c r="E60" s="89" t="str">
        <f>IF($Y60="","",INDEX(tblSteps[状態],$Y60)&amp;"")</f>
        <v/>
      </c>
      <c r="F60" s="90" t="str">
        <f>IF($Y60="","",IF(ISNUMBER(INDEX(tblSteps[進捗率],$Y60)),INDEX(tblSteps[進捗率],$Y60),""))</f>
        <v/>
      </c>
      <c r="G60" s="91" t="str">
        <f>IF($Y60="","",IF(ISNUMBER(INDEX(tblSteps[計画開始日],$Y60)),INDEX(tblSteps[計画開始日],$Y60),"未入力"))</f>
        <v/>
      </c>
      <c r="H60" s="91" t="str">
        <f>IF($Y60="","",IF(ISNUMBER(INDEX(tblSteps[計画終了日],$Y60)),INDEX(tblSteps[計画終了日],$Y60),"未入力"))</f>
        <v/>
      </c>
      <c r="I60" s="91" t="str">
        <f>IF($Y60="","",IF(ISNUMBER(INDEX(tblSteps[完了見込日],$Y60)),INDEX(tblSteps[完了見込日],$Y60),""))</f>
        <v/>
      </c>
      <c r="J60" s="92" t="str">
        <f>IF($Y60="","",INDEX(tblSteps[注意短],$Y60)&amp;"")</f>
        <v/>
      </c>
      <c r="K60" s="93" t="str">
        <f>IF($Y60="","",IF(AND($AG60&gt;=K$6,$AG60&lt;=(K$6+6)),"◆",IF(AND($AE60&lt;=(K$6+6),$AF60&gt;=K$6),"遅",IF(AND($AC60&lt;=(K$6+6),$AD60&gt;=K$6),IF(AND($AA60&lt;=(K$6+6),$AB60&gt;=K$6),"実","外"),IF(AND($AA60&lt;=(K$6+6),$AB60&gt;=K$6),"計","")))))</f>
        <v/>
      </c>
      <c r="L60" s="93" t="str">
        <f>IF($Y60="","",IF(AND($AG60&gt;=L$6,$AG60&lt;=(L$6+6)),"◆",IF(AND($AE60&lt;=(L$6+6),$AF60&gt;=L$6),"遅",IF(AND($AC60&lt;=(L$6+6),$AD60&gt;=L$6),IF(AND($AA60&lt;=(L$6+6),$AB60&gt;=L$6),"実","外"),IF(AND($AA60&lt;=(L$6+6),$AB60&gt;=L$6),"計","")))))</f>
        <v/>
      </c>
      <c r="M60" s="93" t="str">
        <f>IF($Y60="","",IF(AND($AG60&gt;=M$6,$AG60&lt;=(M$6+6)),"◆",IF(AND($AE60&lt;=(M$6+6),$AF60&gt;=M$6),"遅",IF(AND($AC60&lt;=(M$6+6),$AD60&gt;=M$6),IF(AND($AA60&lt;=(M$6+6),$AB60&gt;=M$6),"実","外"),IF(AND($AA60&lt;=(M$6+6),$AB60&gt;=M$6),"計","")))))</f>
        <v/>
      </c>
      <c r="N60" s="93" t="str">
        <f>IF($Y60="","",IF(AND($AG60&gt;=N$6,$AG60&lt;=(N$6+6)),"◆",IF(AND($AE60&lt;=(N$6+6),$AF60&gt;=N$6),"遅",IF(AND($AC60&lt;=(N$6+6),$AD60&gt;=N$6),IF(AND($AA60&lt;=(N$6+6),$AB60&gt;=N$6),"実","外"),IF(AND($AA60&lt;=(N$6+6),$AB60&gt;=N$6),"計","")))))</f>
        <v/>
      </c>
      <c r="O60" s="93" t="str">
        <f>IF($Y60="","",IF(AND($AG60&gt;=O$6,$AG60&lt;=(O$6+6)),"◆",IF(AND($AE60&lt;=(O$6+6),$AF60&gt;=O$6),"遅",IF(AND($AC60&lt;=(O$6+6),$AD60&gt;=O$6),IF(AND($AA60&lt;=(O$6+6),$AB60&gt;=O$6),"実","外"),IF(AND($AA60&lt;=(O$6+6),$AB60&gt;=O$6),"計","")))))</f>
        <v/>
      </c>
      <c r="P60" s="93" t="str">
        <f>IF($Y60="","",IF(AND($AG60&gt;=P$6,$AG60&lt;=(P$6+6)),"◆",IF(AND($AE60&lt;=(P$6+6),$AF60&gt;=P$6),"遅",IF(AND($AC60&lt;=(P$6+6),$AD60&gt;=P$6),IF(AND($AA60&lt;=(P$6+6),$AB60&gt;=P$6),"実","外"),IF(AND($AA60&lt;=(P$6+6),$AB60&gt;=P$6),"計","")))))</f>
        <v/>
      </c>
      <c r="Q60" s="93" t="str">
        <f>IF($Y60="","",IF(AND($AG60&gt;=Q$6,$AG60&lt;=(Q$6+6)),"◆",IF(AND($AE60&lt;=(Q$6+6),$AF60&gt;=Q$6),"遅",IF(AND($AC60&lt;=(Q$6+6),$AD60&gt;=Q$6),IF(AND($AA60&lt;=(Q$6+6),$AB60&gt;=Q$6),"実","外"),IF(AND($AA60&lt;=(Q$6+6),$AB60&gt;=Q$6),"計","")))))</f>
        <v/>
      </c>
      <c r="R60" s="93" t="str">
        <f>IF($Y60="","",IF(AND($AG60&gt;=R$6,$AG60&lt;=(R$6+6)),"◆",IF(AND($AE60&lt;=(R$6+6),$AF60&gt;=R$6),"遅",IF(AND($AC60&lt;=(R$6+6),$AD60&gt;=R$6),IF(AND($AA60&lt;=(R$6+6),$AB60&gt;=R$6),"実","外"),IF(AND($AA60&lt;=(R$6+6),$AB60&gt;=R$6),"計","")))))</f>
        <v/>
      </c>
      <c r="S60" s="93" t="str">
        <f>IF($Y60="","",IF(AND($AG60&gt;=S$6,$AG60&lt;=(S$6+6)),"◆",IF(AND($AE60&lt;=(S$6+6),$AF60&gt;=S$6),"遅",IF(AND($AC60&lt;=(S$6+6),$AD60&gt;=S$6),IF(AND($AA60&lt;=(S$6+6),$AB60&gt;=S$6),"実","外"),IF(AND($AA60&lt;=(S$6+6),$AB60&gt;=S$6),"計","")))))</f>
        <v/>
      </c>
      <c r="T60" s="93" t="str">
        <f>IF($Y60="","",IF(AND($AG60&gt;=T$6,$AG60&lt;=(T$6+6)),"◆",IF(AND($AE60&lt;=(T$6+6),$AF60&gt;=T$6),"遅",IF(AND($AC60&lt;=(T$6+6),$AD60&gt;=T$6),IF(AND($AA60&lt;=(T$6+6),$AB60&gt;=T$6),"実","外"),IF(AND($AA60&lt;=(T$6+6),$AB60&gt;=T$6),"計","")))))</f>
        <v/>
      </c>
      <c r="U60" s="93" t="str">
        <f>IF($Y60="","",IF(AND($AG60&gt;=U$6,$AG60&lt;=(U$6+6)),"◆",IF(AND($AE60&lt;=(U$6+6),$AF60&gt;=U$6),"遅",IF(AND($AC60&lt;=(U$6+6),$AD60&gt;=U$6),IF(AND($AA60&lt;=(U$6+6),$AB60&gt;=U$6),"実","外"),IF(AND($AA60&lt;=(U$6+6),$AB60&gt;=U$6),"計","")))))</f>
        <v/>
      </c>
      <c r="V60" s="93" t="str">
        <f>IF($Y60="","",IF(AND($AG60&gt;=V$6,$AG60&lt;=(V$6+6)),"◆",IF(AND($AE60&lt;=(V$6+6),$AF60&gt;=V$6),"遅",IF(AND($AC60&lt;=(V$6+6),$AD60&gt;=V$6),IF(AND($AA60&lt;=(V$6+6),$AB60&gt;=V$6),"実","外"),IF(AND($AA60&lt;=(V$6+6),$AB60&gt;=V$6),"計","")))))</f>
        <v/>
      </c>
      <c r="W60" s="93" t="str">
        <f>IF($Y60="","",IF(AND($AG60&gt;=W$6,$AG60&lt;=(W$6+6)),"◆",IF(AND($AE60&lt;=(W$6+6),$AF60&gt;=W$6),"遅",IF(AND($AC60&lt;=(W$6+6),$AD60&gt;=W$6),IF(AND($AA60&lt;=(W$6+6),$AB60&gt;=W$6),"実","外"),IF(AND($AA60&lt;=(W$6+6),$AB60&gt;=W$6),"計","")))))</f>
        <v/>
      </c>
      <c r="Y60" t="str">
        <f>IF(53&gt;COUNTIF(tblSteps[週別対象],1),"",IFERROR(MATCH(53,tblSteps[週別順位],0),""))</f>
        <v/>
      </c>
      <c r="Z60" t="str">
        <f>IF($Y60="","",INDEX(tblSteps[案件ID],$Y60)&amp;"")</f>
        <v/>
      </c>
      <c r="AA60" t="str">
        <f>IF($Y60="","",INDEX(tblSteps[計開],$Y60))</f>
        <v/>
      </c>
      <c r="AB60" t="str">
        <f>IF($Y60="","",INDEX(tblSteps[計終],$Y60))</f>
        <v/>
      </c>
      <c r="AC60" t="str">
        <f>IF($Y60="","",INDEX(tblSteps[実開],$Y60))</f>
        <v/>
      </c>
      <c r="AD60" t="str">
        <f>IF($Y60="","",INDEX(tblSteps[実終],$Y60))</f>
        <v/>
      </c>
      <c r="AE60" t="str">
        <f>IF($Y60="","",INDEX(tblSteps[遅開],$Y60))</f>
        <v/>
      </c>
      <c r="AF60" t="str">
        <f>IF($Y60="","",INDEX(tblSteps[遅終],$Y60))</f>
        <v/>
      </c>
      <c r="AG60" t="str">
        <f>IF($Y60="","",INDEX(tblSteps[納期値],$Y60))</f>
        <v/>
      </c>
    </row>
    <row r="61" ht="18" customHeight="1">
      <c r="A61" s="89" t="str">
        <f>IF($Y61="","",INDEX(tblSteps[工程ID],$Y61)&amp;"")</f>
        <v/>
      </c>
      <c r="B61" s="88" t="str">
        <f>IF($Y61="","",IF($Z61=$Z60,"",$Z61&amp;" "&amp;INDEX(tblSteps[案件名],$Y61)))</f>
        <v/>
      </c>
      <c r="C61" s="88" t="str">
        <f>IF($Y61="","",INDEX(tblSteps[工程名],$Y61)&amp;"")</f>
        <v/>
      </c>
      <c r="D61" s="89" t="str">
        <f>IF($Y61="","",INDEX(tblSteps[担当],$Y61)&amp;"")</f>
        <v/>
      </c>
      <c r="E61" s="89" t="str">
        <f>IF($Y61="","",INDEX(tblSteps[状態],$Y61)&amp;"")</f>
        <v/>
      </c>
      <c r="F61" s="90" t="str">
        <f>IF($Y61="","",IF(ISNUMBER(INDEX(tblSteps[進捗率],$Y61)),INDEX(tblSteps[進捗率],$Y61),""))</f>
        <v/>
      </c>
      <c r="G61" s="91" t="str">
        <f>IF($Y61="","",IF(ISNUMBER(INDEX(tblSteps[計画開始日],$Y61)),INDEX(tblSteps[計画開始日],$Y61),"未入力"))</f>
        <v/>
      </c>
      <c r="H61" s="91" t="str">
        <f>IF($Y61="","",IF(ISNUMBER(INDEX(tblSteps[計画終了日],$Y61)),INDEX(tblSteps[計画終了日],$Y61),"未入力"))</f>
        <v/>
      </c>
      <c r="I61" s="91" t="str">
        <f>IF($Y61="","",IF(ISNUMBER(INDEX(tblSteps[完了見込日],$Y61)),INDEX(tblSteps[完了見込日],$Y61),""))</f>
        <v/>
      </c>
      <c r="J61" s="92" t="str">
        <f>IF($Y61="","",INDEX(tblSteps[注意短],$Y61)&amp;"")</f>
        <v/>
      </c>
      <c r="K61" s="93" t="str">
        <f>IF($Y61="","",IF(AND($AG61&gt;=K$6,$AG61&lt;=(K$6+6)),"◆",IF(AND($AE61&lt;=(K$6+6),$AF61&gt;=K$6),"遅",IF(AND($AC61&lt;=(K$6+6),$AD61&gt;=K$6),IF(AND($AA61&lt;=(K$6+6),$AB61&gt;=K$6),"実","外"),IF(AND($AA61&lt;=(K$6+6),$AB61&gt;=K$6),"計","")))))</f>
        <v/>
      </c>
      <c r="L61" s="93" t="str">
        <f>IF($Y61="","",IF(AND($AG61&gt;=L$6,$AG61&lt;=(L$6+6)),"◆",IF(AND($AE61&lt;=(L$6+6),$AF61&gt;=L$6),"遅",IF(AND($AC61&lt;=(L$6+6),$AD61&gt;=L$6),IF(AND($AA61&lt;=(L$6+6),$AB61&gt;=L$6),"実","外"),IF(AND($AA61&lt;=(L$6+6),$AB61&gt;=L$6),"計","")))))</f>
        <v/>
      </c>
      <c r="M61" s="93" t="str">
        <f>IF($Y61="","",IF(AND($AG61&gt;=M$6,$AG61&lt;=(M$6+6)),"◆",IF(AND($AE61&lt;=(M$6+6),$AF61&gt;=M$6),"遅",IF(AND($AC61&lt;=(M$6+6),$AD61&gt;=M$6),IF(AND($AA61&lt;=(M$6+6),$AB61&gt;=M$6),"実","外"),IF(AND($AA61&lt;=(M$6+6),$AB61&gt;=M$6),"計","")))))</f>
        <v/>
      </c>
      <c r="N61" s="93" t="str">
        <f>IF($Y61="","",IF(AND($AG61&gt;=N$6,$AG61&lt;=(N$6+6)),"◆",IF(AND($AE61&lt;=(N$6+6),$AF61&gt;=N$6),"遅",IF(AND($AC61&lt;=(N$6+6),$AD61&gt;=N$6),IF(AND($AA61&lt;=(N$6+6),$AB61&gt;=N$6),"実","外"),IF(AND($AA61&lt;=(N$6+6),$AB61&gt;=N$6),"計","")))))</f>
        <v/>
      </c>
      <c r="O61" s="93" t="str">
        <f>IF($Y61="","",IF(AND($AG61&gt;=O$6,$AG61&lt;=(O$6+6)),"◆",IF(AND($AE61&lt;=(O$6+6),$AF61&gt;=O$6),"遅",IF(AND($AC61&lt;=(O$6+6),$AD61&gt;=O$6),IF(AND($AA61&lt;=(O$6+6),$AB61&gt;=O$6),"実","外"),IF(AND($AA61&lt;=(O$6+6),$AB61&gt;=O$6),"計","")))))</f>
        <v/>
      </c>
      <c r="P61" s="93" t="str">
        <f>IF($Y61="","",IF(AND($AG61&gt;=P$6,$AG61&lt;=(P$6+6)),"◆",IF(AND($AE61&lt;=(P$6+6),$AF61&gt;=P$6),"遅",IF(AND($AC61&lt;=(P$6+6),$AD61&gt;=P$6),IF(AND($AA61&lt;=(P$6+6),$AB61&gt;=P$6),"実","外"),IF(AND($AA61&lt;=(P$6+6),$AB61&gt;=P$6),"計","")))))</f>
        <v/>
      </c>
      <c r="Q61" s="93" t="str">
        <f>IF($Y61="","",IF(AND($AG61&gt;=Q$6,$AG61&lt;=(Q$6+6)),"◆",IF(AND($AE61&lt;=(Q$6+6),$AF61&gt;=Q$6),"遅",IF(AND($AC61&lt;=(Q$6+6),$AD61&gt;=Q$6),IF(AND($AA61&lt;=(Q$6+6),$AB61&gt;=Q$6),"実","外"),IF(AND($AA61&lt;=(Q$6+6),$AB61&gt;=Q$6),"計","")))))</f>
        <v/>
      </c>
      <c r="R61" s="93" t="str">
        <f>IF($Y61="","",IF(AND($AG61&gt;=R$6,$AG61&lt;=(R$6+6)),"◆",IF(AND($AE61&lt;=(R$6+6),$AF61&gt;=R$6),"遅",IF(AND($AC61&lt;=(R$6+6),$AD61&gt;=R$6),IF(AND($AA61&lt;=(R$6+6),$AB61&gt;=R$6),"実","外"),IF(AND($AA61&lt;=(R$6+6),$AB61&gt;=R$6),"計","")))))</f>
        <v/>
      </c>
      <c r="S61" s="93" t="str">
        <f>IF($Y61="","",IF(AND($AG61&gt;=S$6,$AG61&lt;=(S$6+6)),"◆",IF(AND($AE61&lt;=(S$6+6),$AF61&gt;=S$6),"遅",IF(AND($AC61&lt;=(S$6+6),$AD61&gt;=S$6),IF(AND($AA61&lt;=(S$6+6),$AB61&gt;=S$6),"実","外"),IF(AND($AA61&lt;=(S$6+6),$AB61&gt;=S$6),"計","")))))</f>
        <v/>
      </c>
      <c r="T61" s="93" t="str">
        <f>IF($Y61="","",IF(AND($AG61&gt;=T$6,$AG61&lt;=(T$6+6)),"◆",IF(AND($AE61&lt;=(T$6+6),$AF61&gt;=T$6),"遅",IF(AND($AC61&lt;=(T$6+6),$AD61&gt;=T$6),IF(AND($AA61&lt;=(T$6+6),$AB61&gt;=T$6),"実","外"),IF(AND($AA61&lt;=(T$6+6),$AB61&gt;=T$6),"計","")))))</f>
        <v/>
      </c>
      <c r="U61" s="93" t="str">
        <f>IF($Y61="","",IF(AND($AG61&gt;=U$6,$AG61&lt;=(U$6+6)),"◆",IF(AND($AE61&lt;=(U$6+6),$AF61&gt;=U$6),"遅",IF(AND($AC61&lt;=(U$6+6),$AD61&gt;=U$6),IF(AND($AA61&lt;=(U$6+6),$AB61&gt;=U$6),"実","外"),IF(AND($AA61&lt;=(U$6+6),$AB61&gt;=U$6),"計","")))))</f>
        <v/>
      </c>
      <c r="V61" s="93" t="str">
        <f>IF($Y61="","",IF(AND($AG61&gt;=V$6,$AG61&lt;=(V$6+6)),"◆",IF(AND($AE61&lt;=(V$6+6),$AF61&gt;=V$6),"遅",IF(AND($AC61&lt;=(V$6+6),$AD61&gt;=V$6),IF(AND($AA61&lt;=(V$6+6),$AB61&gt;=V$6),"実","外"),IF(AND($AA61&lt;=(V$6+6),$AB61&gt;=V$6),"計","")))))</f>
        <v/>
      </c>
      <c r="W61" s="93" t="str">
        <f>IF($Y61="","",IF(AND($AG61&gt;=W$6,$AG61&lt;=(W$6+6)),"◆",IF(AND($AE61&lt;=(W$6+6),$AF61&gt;=W$6),"遅",IF(AND($AC61&lt;=(W$6+6),$AD61&gt;=W$6),IF(AND($AA61&lt;=(W$6+6),$AB61&gt;=W$6),"実","外"),IF(AND($AA61&lt;=(W$6+6),$AB61&gt;=W$6),"計","")))))</f>
        <v/>
      </c>
      <c r="Y61" t="str">
        <f>IF(54&gt;COUNTIF(tblSteps[週別対象],1),"",IFERROR(MATCH(54,tblSteps[週別順位],0),""))</f>
        <v/>
      </c>
      <c r="Z61" t="str">
        <f>IF($Y61="","",INDEX(tblSteps[案件ID],$Y61)&amp;"")</f>
        <v/>
      </c>
      <c r="AA61" t="str">
        <f>IF($Y61="","",INDEX(tblSteps[計開],$Y61))</f>
        <v/>
      </c>
      <c r="AB61" t="str">
        <f>IF($Y61="","",INDEX(tblSteps[計終],$Y61))</f>
        <v/>
      </c>
      <c r="AC61" t="str">
        <f>IF($Y61="","",INDEX(tblSteps[実開],$Y61))</f>
        <v/>
      </c>
      <c r="AD61" t="str">
        <f>IF($Y61="","",INDEX(tblSteps[実終],$Y61))</f>
        <v/>
      </c>
      <c r="AE61" t="str">
        <f>IF($Y61="","",INDEX(tblSteps[遅開],$Y61))</f>
        <v/>
      </c>
      <c r="AF61" t="str">
        <f>IF($Y61="","",INDEX(tblSteps[遅終],$Y61))</f>
        <v/>
      </c>
      <c r="AG61" t="str">
        <f>IF($Y61="","",INDEX(tblSteps[納期値],$Y61))</f>
        <v/>
      </c>
    </row>
    <row r="62" ht="18" customHeight="1">
      <c r="A62" s="89" t="str">
        <f>IF($Y62="","",INDEX(tblSteps[工程ID],$Y62)&amp;"")</f>
        <v/>
      </c>
      <c r="B62" s="88" t="str">
        <f>IF($Y62="","",IF($Z62=$Z61,"",$Z62&amp;" "&amp;INDEX(tblSteps[案件名],$Y62)))</f>
        <v/>
      </c>
      <c r="C62" s="88" t="str">
        <f>IF($Y62="","",INDEX(tblSteps[工程名],$Y62)&amp;"")</f>
        <v/>
      </c>
      <c r="D62" s="89" t="str">
        <f>IF($Y62="","",INDEX(tblSteps[担当],$Y62)&amp;"")</f>
        <v/>
      </c>
      <c r="E62" s="89" t="str">
        <f>IF($Y62="","",INDEX(tblSteps[状態],$Y62)&amp;"")</f>
        <v/>
      </c>
      <c r="F62" s="90" t="str">
        <f>IF($Y62="","",IF(ISNUMBER(INDEX(tblSteps[進捗率],$Y62)),INDEX(tblSteps[進捗率],$Y62),""))</f>
        <v/>
      </c>
      <c r="G62" s="91" t="str">
        <f>IF($Y62="","",IF(ISNUMBER(INDEX(tblSteps[計画開始日],$Y62)),INDEX(tblSteps[計画開始日],$Y62),"未入力"))</f>
        <v/>
      </c>
      <c r="H62" s="91" t="str">
        <f>IF($Y62="","",IF(ISNUMBER(INDEX(tblSteps[計画終了日],$Y62)),INDEX(tblSteps[計画終了日],$Y62),"未入力"))</f>
        <v/>
      </c>
      <c r="I62" s="91" t="str">
        <f>IF($Y62="","",IF(ISNUMBER(INDEX(tblSteps[完了見込日],$Y62)),INDEX(tblSteps[完了見込日],$Y62),""))</f>
        <v/>
      </c>
      <c r="J62" s="92" t="str">
        <f>IF($Y62="","",INDEX(tblSteps[注意短],$Y62)&amp;"")</f>
        <v/>
      </c>
      <c r="K62" s="93" t="str">
        <f>IF($Y62="","",IF(AND($AG62&gt;=K$6,$AG62&lt;=(K$6+6)),"◆",IF(AND($AE62&lt;=(K$6+6),$AF62&gt;=K$6),"遅",IF(AND($AC62&lt;=(K$6+6),$AD62&gt;=K$6),IF(AND($AA62&lt;=(K$6+6),$AB62&gt;=K$6),"実","外"),IF(AND($AA62&lt;=(K$6+6),$AB62&gt;=K$6),"計","")))))</f>
        <v/>
      </c>
      <c r="L62" s="93" t="str">
        <f>IF($Y62="","",IF(AND($AG62&gt;=L$6,$AG62&lt;=(L$6+6)),"◆",IF(AND($AE62&lt;=(L$6+6),$AF62&gt;=L$6),"遅",IF(AND($AC62&lt;=(L$6+6),$AD62&gt;=L$6),IF(AND($AA62&lt;=(L$6+6),$AB62&gt;=L$6),"実","外"),IF(AND($AA62&lt;=(L$6+6),$AB62&gt;=L$6),"計","")))))</f>
        <v/>
      </c>
      <c r="M62" s="93" t="str">
        <f>IF($Y62="","",IF(AND($AG62&gt;=M$6,$AG62&lt;=(M$6+6)),"◆",IF(AND($AE62&lt;=(M$6+6),$AF62&gt;=M$6),"遅",IF(AND($AC62&lt;=(M$6+6),$AD62&gt;=M$6),IF(AND($AA62&lt;=(M$6+6),$AB62&gt;=M$6),"実","外"),IF(AND($AA62&lt;=(M$6+6),$AB62&gt;=M$6),"計","")))))</f>
        <v/>
      </c>
      <c r="N62" s="93" t="str">
        <f>IF($Y62="","",IF(AND($AG62&gt;=N$6,$AG62&lt;=(N$6+6)),"◆",IF(AND($AE62&lt;=(N$6+6),$AF62&gt;=N$6),"遅",IF(AND($AC62&lt;=(N$6+6),$AD62&gt;=N$6),IF(AND($AA62&lt;=(N$6+6),$AB62&gt;=N$6),"実","外"),IF(AND($AA62&lt;=(N$6+6),$AB62&gt;=N$6),"計","")))))</f>
        <v/>
      </c>
      <c r="O62" s="93" t="str">
        <f>IF($Y62="","",IF(AND($AG62&gt;=O$6,$AG62&lt;=(O$6+6)),"◆",IF(AND($AE62&lt;=(O$6+6),$AF62&gt;=O$6),"遅",IF(AND($AC62&lt;=(O$6+6),$AD62&gt;=O$6),IF(AND($AA62&lt;=(O$6+6),$AB62&gt;=O$6),"実","外"),IF(AND($AA62&lt;=(O$6+6),$AB62&gt;=O$6),"計","")))))</f>
        <v/>
      </c>
      <c r="P62" s="93" t="str">
        <f>IF($Y62="","",IF(AND($AG62&gt;=P$6,$AG62&lt;=(P$6+6)),"◆",IF(AND($AE62&lt;=(P$6+6),$AF62&gt;=P$6),"遅",IF(AND($AC62&lt;=(P$6+6),$AD62&gt;=P$6),IF(AND($AA62&lt;=(P$6+6),$AB62&gt;=P$6),"実","外"),IF(AND($AA62&lt;=(P$6+6),$AB62&gt;=P$6),"計","")))))</f>
        <v/>
      </c>
      <c r="Q62" s="93" t="str">
        <f>IF($Y62="","",IF(AND($AG62&gt;=Q$6,$AG62&lt;=(Q$6+6)),"◆",IF(AND($AE62&lt;=(Q$6+6),$AF62&gt;=Q$6),"遅",IF(AND($AC62&lt;=(Q$6+6),$AD62&gt;=Q$6),IF(AND($AA62&lt;=(Q$6+6),$AB62&gt;=Q$6),"実","外"),IF(AND($AA62&lt;=(Q$6+6),$AB62&gt;=Q$6),"計","")))))</f>
        <v/>
      </c>
      <c r="R62" s="93" t="str">
        <f>IF($Y62="","",IF(AND($AG62&gt;=R$6,$AG62&lt;=(R$6+6)),"◆",IF(AND($AE62&lt;=(R$6+6),$AF62&gt;=R$6),"遅",IF(AND($AC62&lt;=(R$6+6),$AD62&gt;=R$6),IF(AND($AA62&lt;=(R$6+6),$AB62&gt;=R$6),"実","外"),IF(AND($AA62&lt;=(R$6+6),$AB62&gt;=R$6),"計","")))))</f>
        <v/>
      </c>
      <c r="S62" s="93" t="str">
        <f>IF($Y62="","",IF(AND($AG62&gt;=S$6,$AG62&lt;=(S$6+6)),"◆",IF(AND($AE62&lt;=(S$6+6),$AF62&gt;=S$6),"遅",IF(AND($AC62&lt;=(S$6+6),$AD62&gt;=S$6),IF(AND($AA62&lt;=(S$6+6),$AB62&gt;=S$6),"実","外"),IF(AND($AA62&lt;=(S$6+6),$AB62&gt;=S$6),"計","")))))</f>
        <v/>
      </c>
      <c r="T62" s="93" t="str">
        <f>IF($Y62="","",IF(AND($AG62&gt;=T$6,$AG62&lt;=(T$6+6)),"◆",IF(AND($AE62&lt;=(T$6+6),$AF62&gt;=T$6),"遅",IF(AND($AC62&lt;=(T$6+6),$AD62&gt;=T$6),IF(AND($AA62&lt;=(T$6+6),$AB62&gt;=T$6),"実","外"),IF(AND($AA62&lt;=(T$6+6),$AB62&gt;=T$6),"計","")))))</f>
        <v/>
      </c>
      <c r="U62" s="93" t="str">
        <f>IF($Y62="","",IF(AND($AG62&gt;=U$6,$AG62&lt;=(U$6+6)),"◆",IF(AND($AE62&lt;=(U$6+6),$AF62&gt;=U$6),"遅",IF(AND($AC62&lt;=(U$6+6),$AD62&gt;=U$6),IF(AND($AA62&lt;=(U$6+6),$AB62&gt;=U$6),"実","外"),IF(AND($AA62&lt;=(U$6+6),$AB62&gt;=U$6),"計","")))))</f>
        <v/>
      </c>
      <c r="V62" s="93" t="str">
        <f>IF($Y62="","",IF(AND($AG62&gt;=V$6,$AG62&lt;=(V$6+6)),"◆",IF(AND($AE62&lt;=(V$6+6),$AF62&gt;=V$6),"遅",IF(AND($AC62&lt;=(V$6+6),$AD62&gt;=V$6),IF(AND($AA62&lt;=(V$6+6),$AB62&gt;=V$6),"実","外"),IF(AND($AA62&lt;=(V$6+6),$AB62&gt;=V$6),"計","")))))</f>
        <v/>
      </c>
      <c r="W62" s="93" t="str">
        <f>IF($Y62="","",IF(AND($AG62&gt;=W$6,$AG62&lt;=(W$6+6)),"◆",IF(AND($AE62&lt;=(W$6+6),$AF62&gt;=W$6),"遅",IF(AND($AC62&lt;=(W$6+6),$AD62&gt;=W$6),IF(AND($AA62&lt;=(W$6+6),$AB62&gt;=W$6),"実","外"),IF(AND($AA62&lt;=(W$6+6),$AB62&gt;=W$6),"計","")))))</f>
        <v/>
      </c>
      <c r="Y62" t="str">
        <f>IF(55&gt;COUNTIF(tblSteps[週別対象],1),"",IFERROR(MATCH(55,tblSteps[週別順位],0),""))</f>
        <v/>
      </c>
      <c r="Z62" t="str">
        <f>IF($Y62="","",INDEX(tblSteps[案件ID],$Y62)&amp;"")</f>
        <v/>
      </c>
      <c r="AA62" t="str">
        <f>IF($Y62="","",INDEX(tblSteps[計開],$Y62))</f>
        <v/>
      </c>
      <c r="AB62" t="str">
        <f>IF($Y62="","",INDEX(tblSteps[計終],$Y62))</f>
        <v/>
      </c>
      <c r="AC62" t="str">
        <f>IF($Y62="","",INDEX(tblSteps[実開],$Y62))</f>
        <v/>
      </c>
      <c r="AD62" t="str">
        <f>IF($Y62="","",INDEX(tblSteps[実終],$Y62))</f>
        <v/>
      </c>
      <c r="AE62" t="str">
        <f>IF($Y62="","",INDEX(tblSteps[遅開],$Y62))</f>
        <v/>
      </c>
      <c r="AF62" t="str">
        <f>IF($Y62="","",INDEX(tblSteps[遅終],$Y62))</f>
        <v/>
      </c>
      <c r="AG62" t="str">
        <f>IF($Y62="","",INDEX(tblSteps[納期値],$Y62))</f>
        <v/>
      </c>
    </row>
    <row r="63" ht="18" customHeight="1">
      <c r="A63" s="89" t="str">
        <f>IF($Y63="","",INDEX(tblSteps[工程ID],$Y63)&amp;"")</f>
        <v/>
      </c>
      <c r="B63" s="88" t="str">
        <f>IF($Y63="","",IF($Z63=$Z62,"",$Z63&amp;" "&amp;INDEX(tblSteps[案件名],$Y63)))</f>
        <v/>
      </c>
      <c r="C63" s="88" t="str">
        <f>IF($Y63="","",INDEX(tblSteps[工程名],$Y63)&amp;"")</f>
        <v/>
      </c>
      <c r="D63" s="89" t="str">
        <f>IF($Y63="","",INDEX(tblSteps[担当],$Y63)&amp;"")</f>
        <v/>
      </c>
      <c r="E63" s="89" t="str">
        <f>IF($Y63="","",INDEX(tblSteps[状態],$Y63)&amp;"")</f>
        <v/>
      </c>
      <c r="F63" s="90" t="str">
        <f>IF($Y63="","",IF(ISNUMBER(INDEX(tblSteps[進捗率],$Y63)),INDEX(tblSteps[進捗率],$Y63),""))</f>
        <v/>
      </c>
      <c r="G63" s="91" t="str">
        <f>IF($Y63="","",IF(ISNUMBER(INDEX(tblSteps[計画開始日],$Y63)),INDEX(tblSteps[計画開始日],$Y63),"未入力"))</f>
        <v/>
      </c>
      <c r="H63" s="91" t="str">
        <f>IF($Y63="","",IF(ISNUMBER(INDEX(tblSteps[計画終了日],$Y63)),INDEX(tblSteps[計画終了日],$Y63),"未入力"))</f>
        <v/>
      </c>
      <c r="I63" s="91" t="str">
        <f>IF($Y63="","",IF(ISNUMBER(INDEX(tblSteps[完了見込日],$Y63)),INDEX(tblSteps[完了見込日],$Y63),""))</f>
        <v/>
      </c>
      <c r="J63" s="92" t="str">
        <f>IF($Y63="","",INDEX(tblSteps[注意短],$Y63)&amp;"")</f>
        <v/>
      </c>
      <c r="K63" s="93" t="str">
        <f>IF($Y63="","",IF(AND($AG63&gt;=K$6,$AG63&lt;=(K$6+6)),"◆",IF(AND($AE63&lt;=(K$6+6),$AF63&gt;=K$6),"遅",IF(AND($AC63&lt;=(K$6+6),$AD63&gt;=K$6),IF(AND($AA63&lt;=(K$6+6),$AB63&gt;=K$6),"実","外"),IF(AND($AA63&lt;=(K$6+6),$AB63&gt;=K$6),"計","")))))</f>
        <v/>
      </c>
      <c r="L63" s="93" t="str">
        <f>IF($Y63="","",IF(AND($AG63&gt;=L$6,$AG63&lt;=(L$6+6)),"◆",IF(AND($AE63&lt;=(L$6+6),$AF63&gt;=L$6),"遅",IF(AND($AC63&lt;=(L$6+6),$AD63&gt;=L$6),IF(AND($AA63&lt;=(L$6+6),$AB63&gt;=L$6),"実","外"),IF(AND($AA63&lt;=(L$6+6),$AB63&gt;=L$6),"計","")))))</f>
        <v/>
      </c>
      <c r="M63" s="93" t="str">
        <f>IF($Y63="","",IF(AND($AG63&gt;=M$6,$AG63&lt;=(M$6+6)),"◆",IF(AND($AE63&lt;=(M$6+6),$AF63&gt;=M$6),"遅",IF(AND($AC63&lt;=(M$6+6),$AD63&gt;=M$6),IF(AND($AA63&lt;=(M$6+6),$AB63&gt;=M$6),"実","外"),IF(AND($AA63&lt;=(M$6+6),$AB63&gt;=M$6),"計","")))))</f>
        <v/>
      </c>
      <c r="N63" s="93" t="str">
        <f>IF($Y63="","",IF(AND($AG63&gt;=N$6,$AG63&lt;=(N$6+6)),"◆",IF(AND($AE63&lt;=(N$6+6),$AF63&gt;=N$6),"遅",IF(AND($AC63&lt;=(N$6+6),$AD63&gt;=N$6),IF(AND($AA63&lt;=(N$6+6),$AB63&gt;=N$6),"実","外"),IF(AND($AA63&lt;=(N$6+6),$AB63&gt;=N$6),"計","")))))</f>
        <v/>
      </c>
      <c r="O63" s="93" t="str">
        <f>IF($Y63="","",IF(AND($AG63&gt;=O$6,$AG63&lt;=(O$6+6)),"◆",IF(AND($AE63&lt;=(O$6+6),$AF63&gt;=O$6),"遅",IF(AND($AC63&lt;=(O$6+6),$AD63&gt;=O$6),IF(AND($AA63&lt;=(O$6+6),$AB63&gt;=O$6),"実","外"),IF(AND($AA63&lt;=(O$6+6),$AB63&gt;=O$6),"計","")))))</f>
        <v/>
      </c>
      <c r="P63" s="93" t="str">
        <f>IF($Y63="","",IF(AND($AG63&gt;=P$6,$AG63&lt;=(P$6+6)),"◆",IF(AND($AE63&lt;=(P$6+6),$AF63&gt;=P$6),"遅",IF(AND($AC63&lt;=(P$6+6),$AD63&gt;=P$6),IF(AND($AA63&lt;=(P$6+6),$AB63&gt;=P$6),"実","外"),IF(AND($AA63&lt;=(P$6+6),$AB63&gt;=P$6),"計","")))))</f>
        <v/>
      </c>
      <c r="Q63" s="93" t="str">
        <f>IF($Y63="","",IF(AND($AG63&gt;=Q$6,$AG63&lt;=(Q$6+6)),"◆",IF(AND($AE63&lt;=(Q$6+6),$AF63&gt;=Q$6),"遅",IF(AND($AC63&lt;=(Q$6+6),$AD63&gt;=Q$6),IF(AND($AA63&lt;=(Q$6+6),$AB63&gt;=Q$6),"実","外"),IF(AND($AA63&lt;=(Q$6+6),$AB63&gt;=Q$6),"計","")))))</f>
        <v/>
      </c>
      <c r="R63" s="93" t="str">
        <f>IF($Y63="","",IF(AND($AG63&gt;=R$6,$AG63&lt;=(R$6+6)),"◆",IF(AND($AE63&lt;=(R$6+6),$AF63&gt;=R$6),"遅",IF(AND($AC63&lt;=(R$6+6),$AD63&gt;=R$6),IF(AND($AA63&lt;=(R$6+6),$AB63&gt;=R$6),"実","外"),IF(AND($AA63&lt;=(R$6+6),$AB63&gt;=R$6),"計","")))))</f>
        <v/>
      </c>
      <c r="S63" s="93" t="str">
        <f>IF($Y63="","",IF(AND($AG63&gt;=S$6,$AG63&lt;=(S$6+6)),"◆",IF(AND($AE63&lt;=(S$6+6),$AF63&gt;=S$6),"遅",IF(AND($AC63&lt;=(S$6+6),$AD63&gt;=S$6),IF(AND($AA63&lt;=(S$6+6),$AB63&gt;=S$6),"実","外"),IF(AND($AA63&lt;=(S$6+6),$AB63&gt;=S$6),"計","")))))</f>
        <v/>
      </c>
      <c r="T63" s="93" t="str">
        <f>IF($Y63="","",IF(AND($AG63&gt;=T$6,$AG63&lt;=(T$6+6)),"◆",IF(AND($AE63&lt;=(T$6+6),$AF63&gt;=T$6),"遅",IF(AND($AC63&lt;=(T$6+6),$AD63&gt;=T$6),IF(AND($AA63&lt;=(T$6+6),$AB63&gt;=T$6),"実","外"),IF(AND($AA63&lt;=(T$6+6),$AB63&gt;=T$6),"計","")))))</f>
        <v/>
      </c>
      <c r="U63" s="93" t="str">
        <f>IF($Y63="","",IF(AND($AG63&gt;=U$6,$AG63&lt;=(U$6+6)),"◆",IF(AND($AE63&lt;=(U$6+6),$AF63&gt;=U$6),"遅",IF(AND($AC63&lt;=(U$6+6),$AD63&gt;=U$6),IF(AND($AA63&lt;=(U$6+6),$AB63&gt;=U$6),"実","外"),IF(AND($AA63&lt;=(U$6+6),$AB63&gt;=U$6),"計","")))))</f>
        <v/>
      </c>
      <c r="V63" s="93" t="str">
        <f>IF($Y63="","",IF(AND($AG63&gt;=V$6,$AG63&lt;=(V$6+6)),"◆",IF(AND($AE63&lt;=(V$6+6),$AF63&gt;=V$6),"遅",IF(AND($AC63&lt;=(V$6+6),$AD63&gt;=V$6),IF(AND($AA63&lt;=(V$6+6),$AB63&gt;=V$6),"実","外"),IF(AND($AA63&lt;=(V$6+6),$AB63&gt;=V$6),"計","")))))</f>
        <v/>
      </c>
      <c r="W63" s="93" t="str">
        <f>IF($Y63="","",IF(AND($AG63&gt;=W$6,$AG63&lt;=(W$6+6)),"◆",IF(AND($AE63&lt;=(W$6+6),$AF63&gt;=W$6),"遅",IF(AND($AC63&lt;=(W$6+6),$AD63&gt;=W$6),IF(AND($AA63&lt;=(W$6+6),$AB63&gt;=W$6),"実","外"),IF(AND($AA63&lt;=(W$6+6),$AB63&gt;=W$6),"計","")))))</f>
        <v/>
      </c>
      <c r="Y63" t="str">
        <f>IF(56&gt;COUNTIF(tblSteps[週別対象],1),"",IFERROR(MATCH(56,tblSteps[週別順位],0),""))</f>
        <v/>
      </c>
      <c r="Z63" t="str">
        <f>IF($Y63="","",INDEX(tblSteps[案件ID],$Y63)&amp;"")</f>
        <v/>
      </c>
      <c r="AA63" t="str">
        <f>IF($Y63="","",INDEX(tblSteps[計開],$Y63))</f>
        <v/>
      </c>
      <c r="AB63" t="str">
        <f>IF($Y63="","",INDEX(tblSteps[計終],$Y63))</f>
        <v/>
      </c>
      <c r="AC63" t="str">
        <f>IF($Y63="","",INDEX(tblSteps[実開],$Y63))</f>
        <v/>
      </c>
      <c r="AD63" t="str">
        <f>IF($Y63="","",INDEX(tblSteps[実終],$Y63))</f>
        <v/>
      </c>
      <c r="AE63" t="str">
        <f>IF($Y63="","",INDEX(tblSteps[遅開],$Y63))</f>
        <v/>
      </c>
      <c r="AF63" t="str">
        <f>IF($Y63="","",INDEX(tblSteps[遅終],$Y63))</f>
        <v/>
      </c>
      <c r="AG63" t="str">
        <f>IF($Y63="","",INDEX(tblSteps[納期値],$Y63))</f>
        <v/>
      </c>
    </row>
    <row r="64" ht="18" customHeight="1">
      <c r="A64" s="89" t="str">
        <f>IF($Y64="","",INDEX(tblSteps[工程ID],$Y64)&amp;"")</f>
        <v/>
      </c>
      <c r="B64" s="88" t="str">
        <f>IF($Y64="","",IF($Z64=$Z63,"",$Z64&amp;" "&amp;INDEX(tblSteps[案件名],$Y64)))</f>
        <v/>
      </c>
      <c r="C64" s="88" t="str">
        <f>IF($Y64="","",INDEX(tblSteps[工程名],$Y64)&amp;"")</f>
        <v/>
      </c>
      <c r="D64" s="89" t="str">
        <f>IF($Y64="","",INDEX(tblSteps[担当],$Y64)&amp;"")</f>
        <v/>
      </c>
      <c r="E64" s="89" t="str">
        <f>IF($Y64="","",INDEX(tblSteps[状態],$Y64)&amp;"")</f>
        <v/>
      </c>
      <c r="F64" s="90" t="str">
        <f>IF($Y64="","",IF(ISNUMBER(INDEX(tblSteps[進捗率],$Y64)),INDEX(tblSteps[進捗率],$Y64),""))</f>
        <v/>
      </c>
      <c r="G64" s="91" t="str">
        <f>IF($Y64="","",IF(ISNUMBER(INDEX(tblSteps[計画開始日],$Y64)),INDEX(tblSteps[計画開始日],$Y64),"未入力"))</f>
        <v/>
      </c>
      <c r="H64" s="91" t="str">
        <f>IF($Y64="","",IF(ISNUMBER(INDEX(tblSteps[計画終了日],$Y64)),INDEX(tblSteps[計画終了日],$Y64),"未入力"))</f>
        <v/>
      </c>
      <c r="I64" s="91" t="str">
        <f>IF($Y64="","",IF(ISNUMBER(INDEX(tblSteps[完了見込日],$Y64)),INDEX(tblSteps[完了見込日],$Y64),""))</f>
        <v/>
      </c>
      <c r="J64" s="92" t="str">
        <f>IF($Y64="","",INDEX(tblSteps[注意短],$Y64)&amp;"")</f>
        <v/>
      </c>
      <c r="K64" s="93" t="str">
        <f>IF($Y64="","",IF(AND($AG64&gt;=K$6,$AG64&lt;=(K$6+6)),"◆",IF(AND($AE64&lt;=(K$6+6),$AF64&gt;=K$6),"遅",IF(AND($AC64&lt;=(K$6+6),$AD64&gt;=K$6),IF(AND($AA64&lt;=(K$6+6),$AB64&gt;=K$6),"実","外"),IF(AND($AA64&lt;=(K$6+6),$AB64&gt;=K$6),"計","")))))</f>
        <v/>
      </c>
      <c r="L64" s="93" t="str">
        <f>IF($Y64="","",IF(AND($AG64&gt;=L$6,$AG64&lt;=(L$6+6)),"◆",IF(AND($AE64&lt;=(L$6+6),$AF64&gt;=L$6),"遅",IF(AND($AC64&lt;=(L$6+6),$AD64&gt;=L$6),IF(AND($AA64&lt;=(L$6+6),$AB64&gt;=L$6),"実","外"),IF(AND($AA64&lt;=(L$6+6),$AB64&gt;=L$6),"計","")))))</f>
        <v/>
      </c>
      <c r="M64" s="93" t="str">
        <f>IF($Y64="","",IF(AND($AG64&gt;=M$6,$AG64&lt;=(M$6+6)),"◆",IF(AND($AE64&lt;=(M$6+6),$AF64&gt;=M$6),"遅",IF(AND($AC64&lt;=(M$6+6),$AD64&gt;=M$6),IF(AND($AA64&lt;=(M$6+6),$AB64&gt;=M$6),"実","外"),IF(AND($AA64&lt;=(M$6+6),$AB64&gt;=M$6),"計","")))))</f>
        <v/>
      </c>
      <c r="N64" s="93" t="str">
        <f>IF($Y64="","",IF(AND($AG64&gt;=N$6,$AG64&lt;=(N$6+6)),"◆",IF(AND($AE64&lt;=(N$6+6),$AF64&gt;=N$6),"遅",IF(AND($AC64&lt;=(N$6+6),$AD64&gt;=N$6),IF(AND($AA64&lt;=(N$6+6),$AB64&gt;=N$6),"実","外"),IF(AND($AA64&lt;=(N$6+6),$AB64&gt;=N$6),"計","")))))</f>
        <v/>
      </c>
      <c r="O64" s="93" t="str">
        <f>IF($Y64="","",IF(AND($AG64&gt;=O$6,$AG64&lt;=(O$6+6)),"◆",IF(AND($AE64&lt;=(O$6+6),$AF64&gt;=O$6),"遅",IF(AND($AC64&lt;=(O$6+6),$AD64&gt;=O$6),IF(AND($AA64&lt;=(O$6+6),$AB64&gt;=O$6),"実","外"),IF(AND($AA64&lt;=(O$6+6),$AB64&gt;=O$6),"計","")))))</f>
        <v/>
      </c>
      <c r="P64" s="93" t="str">
        <f>IF($Y64="","",IF(AND($AG64&gt;=P$6,$AG64&lt;=(P$6+6)),"◆",IF(AND($AE64&lt;=(P$6+6),$AF64&gt;=P$6),"遅",IF(AND($AC64&lt;=(P$6+6),$AD64&gt;=P$6),IF(AND($AA64&lt;=(P$6+6),$AB64&gt;=P$6),"実","外"),IF(AND($AA64&lt;=(P$6+6),$AB64&gt;=P$6),"計","")))))</f>
        <v/>
      </c>
      <c r="Q64" s="93" t="str">
        <f>IF($Y64="","",IF(AND($AG64&gt;=Q$6,$AG64&lt;=(Q$6+6)),"◆",IF(AND($AE64&lt;=(Q$6+6),$AF64&gt;=Q$6),"遅",IF(AND($AC64&lt;=(Q$6+6),$AD64&gt;=Q$6),IF(AND($AA64&lt;=(Q$6+6),$AB64&gt;=Q$6),"実","外"),IF(AND($AA64&lt;=(Q$6+6),$AB64&gt;=Q$6),"計","")))))</f>
        <v/>
      </c>
      <c r="R64" s="93" t="str">
        <f>IF($Y64="","",IF(AND($AG64&gt;=R$6,$AG64&lt;=(R$6+6)),"◆",IF(AND($AE64&lt;=(R$6+6),$AF64&gt;=R$6),"遅",IF(AND($AC64&lt;=(R$6+6),$AD64&gt;=R$6),IF(AND($AA64&lt;=(R$6+6),$AB64&gt;=R$6),"実","外"),IF(AND($AA64&lt;=(R$6+6),$AB64&gt;=R$6),"計","")))))</f>
        <v/>
      </c>
      <c r="S64" s="93" t="str">
        <f>IF($Y64="","",IF(AND($AG64&gt;=S$6,$AG64&lt;=(S$6+6)),"◆",IF(AND($AE64&lt;=(S$6+6),$AF64&gt;=S$6),"遅",IF(AND($AC64&lt;=(S$6+6),$AD64&gt;=S$6),IF(AND($AA64&lt;=(S$6+6),$AB64&gt;=S$6),"実","外"),IF(AND($AA64&lt;=(S$6+6),$AB64&gt;=S$6),"計","")))))</f>
        <v/>
      </c>
      <c r="T64" s="93" t="str">
        <f>IF($Y64="","",IF(AND($AG64&gt;=T$6,$AG64&lt;=(T$6+6)),"◆",IF(AND($AE64&lt;=(T$6+6),$AF64&gt;=T$6),"遅",IF(AND($AC64&lt;=(T$6+6),$AD64&gt;=T$6),IF(AND($AA64&lt;=(T$6+6),$AB64&gt;=T$6),"実","外"),IF(AND($AA64&lt;=(T$6+6),$AB64&gt;=T$6),"計","")))))</f>
        <v/>
      </c>
      <c r="U64" s="93" t="str">
        <f>IF($Y64="","",IF(AND($AG64&gt;=U$6,$AG64&lt;=(U$6+6)),"◆",IF(AND($AE64&lt;=(U$6+6),$AF64&gt;=U$6),"遅",IF(AND($AC64&lt;=(U$6+6),$AD64&gt;=U$6),IF(AND($AA64&lt;=(U$6+6),$AB64&gt;=U$6),"実","外"),IF(AND($AA64&lt;=(U$6+6),$AB64&gt;=U$6),"計","")))))</f>
        <v/>
      </c>
      <c r="V64" s="93" t="str">
        <f>IF($Y64="","",IF(AND($AG64&gt;=V$6,$AG64&lt;=(V$6+6)),"◆",IF(AND($AE64&lt;=(V$6+6),$AF64&gt;=V$6),"遅",IF(AND($AC64&lt;=(V$6+6),$AD64&gt;=V$6),IF(AND($AA64&lt;=(V$6+6),$AB64&gt;=V$6),"実","外"),IF(AND($AA64&lt;=(V$6+6),$AB64&gt;=V$6),"計","")))))</f>
        <v/>
      </c>
      <c r="W64" s="93" t="str">
        <f>IF($Y64="","",IF(AND($AG64&gt;=W$6,$AG64&lt;=(W$6+6)),"◆",IF(AND($AE64&lt;=(W$6+6),$AF64&gt;=W$6),"遅",IF(AND($AC64&lt;=(W$6+6),$AD64&gt;=W$6),IF(AND($AA64&lt;=(W$6+6),$AB64&gt;=W$6),"実","外"),IF(AND($AA64&lt;=(W$6+6),$AB64&gt;=W$6),"計","")))))</f>
        <v/>
      </c>
      <c r="Y64" t="str">
        <f>IF(57&gt;COUNTIF(tblSteps[週別対象],1),"",IFERROR(MATCH(57,tblSteps[週別順位],0),""))</f>
        <v/>
      </c>
      <c r="Z64" t="str">
        <f>IF($Y64="","",INDEX(tblSteps[案件ID],$Y64)&amp;"")</f>
        <v/>
      </c>
      <c r="AA64" t="str">
        <f>IF($Y64="","",INDEX(tblSteps[計開],$Y64))</f>
        <v/>
      </c>
      <c r="AB64" t="str">
        <f>IF($Y64="","",INDEX(tblSteps[計終],$Y64))</f>
        <v/>
      </c>
      <c r="AC64" t="str">
        <f>IF($Y64="","",INDEX(tblSteps[実開],$Y64))</f>
        <v/>
      </c>
      <c r="AD64" t="str">
        <f>IF($Y64="","",INDEX(tblSteps[実終],$Y64))</f>
        <v/>
      </c>
      <c r="AE64" t="str">
        <f>IF($Y64="","",INDEX(tblSteps[遅開],$Y64))</f>
        <v/>
      </c>
      <c r="AF64" t="str">
        <f>IF($Y64="","",INDEX(tblSteps[遅終],$Y64))</f>
        <v/>
      </c>
      <c r="AG64" t="str">
        <f>IF($Y64="","",INDEX(tblSteps[納期値],$Y64))</f>
        <v/>
      </c>
    </row>
    <row r="65" ht="18" customHeight="1">
      <c r="A65" s="89" t="str">
        <f>IF($Y65="","",INDEX(tblSteps[工程ID],$Y65)&amp;"")</f>
        <v/>
      </c>
      <c r="B65" s="88" t="str">
        <f>IF($Y65="","",IF($Z65=$Z64,"",$Z65&amp;" "&amp;INDEX(tblSteps[案件名],$Y65)))</f>
        <v/>
      </c>
      <c r="C65" s="88" t="str">
        <f>IF($Y65="","",INDEX(tblSteps[工程名],$Y65)&amp;"")</f>
        <v/>
      </c>
      <c r="D65" s="89" t="str">
        <f>IF($Y65="","",INDEX(tblSteps[担当],$Y65)&amp;"")</f>
        <v/>
      </c>
      <c r="E65" s="89" t="str">
        <f>IF($Y65="","",INDEX(tblSteps[状態],$Y65)&amp;"")</f>
        <v/>
      </c>
      <c r="F65" s="90" t="str">
        <f>IF($Y65="","",IF(ISNUMBER(INDEX(tblSteps[進捗率],$Y65)),INDEX(tblSteps[進捗率],$Y65),""))</f>
        <v/>
      </c>
      <c r="G65" s="91" t="str">
        <f>IF($Y65="","",IF(ISNUMBER(INDEX(tblSteps[計画開始日],$Y65)),INDEX(tblSteps[計画開始日],$Y65),"未入力"))</f>
        <v/>
      </c>
      <c r="H65" s="91" t="str">
        <f>IF($Y65="","",IF(ISNUMBER(INDEX(tblSteps[計画終了日],$Y65)),INDEX(tblSteps[計画終了日],$Y65),"未入力"))</f>
        <v/>
      </c>
      <c r="I65" s="91" t="str">
        <f>IF($Y65="","",IF(ISNUMBER(INDEX(tblSteps[完了見込日],$Y65)),INDEX(tblSteps[完了見込日],$Y65),""))</f>
        <v/>
      </c>
      <c r="J65" s="92" t="str">
        <f>IF($Y65="","",INDEX(tblSteps[注意短],$Y65)&amp;"")</f>
        <v/>
      </c>
      <c r="K65" s="93" t="str">
        <f>IF($Y65="","",IF(AND($AG65&gt;=K$6,$AG65&lt;=(K$6+6)),"◆",IF(AND($AE65&lt;=(K$6+6),$AF65&gt;=K$6),"遅",IF(AND($AC65&lt;=(K$6+6),$AD65&gt;=K$6),IF(AND($AA65&lt;=(K$6+6),$AB65&gt;=K$6),"実","外"),IF(AND($AA65&lt;=(K$6+6),$AB65&gt;=K$6),"計","")))))</f>
        <v/>
      </c>
      <c r="L65" s="93" t="str">
        <f>IF($Y65="","",IF(AND($AG65&gt;=L$6,$AG65&lt;=(L$6+6)),"◆",IF(AND($AE65&lt;=(L$6+6),$AF65&gt;=L$6),"遅",IF(AND($AC65&lt;=(L$6+6),$AD65&gt;=L$6),IF(AND($AA65&lt;=(L$6+6),$AB65&gt;=L$6),"実","外"),IF(AND($AA65&lt;=(L$6+6),$AB65&gt;=L$6),"計","")))))</f>
        <v/>
      </c>
      <c r="M65" s="93" t="str">
        <f>IF($Y65="","",IF(AND($AG65&gt;=M$6,$AG65&lt;=(M$6+6)),"◆",IF(AND($AE65&lt;=(M$6+6),$AF65&gt;=M$6),"遅",IF(AND($AC65&lt;=(M$6+6),$AD65&gt;=M$6),IF(AND($AA65&lt;=(M$6+6),$AB65&gt;=M$6),"実","外"),IF(AND($AA65&lt;=(M$6+6),$AB65&gt;=M$6),"計","")))))</f>
        <v/>
      </c>
      <c r="N65" s="93" t="str">
        <f>IF($Y65="","",IF(AND($AG65&gt;=N$6,$AG65&lt;=(N$6+6)),"◆",IF(AND($AE65&lt;=(N$6+6),$AF65&gt;=N$6),"遅",IF(AND($AC65&lt;=(N$6+6),$AD65&gt;=N$6),IF(AND($AA65&lt;=(N$6+6),$AB65&gt;=N$6),"実","外"),IF(AND($AA65&lt;=(N$6+6),$AB65&gt;=N$6),"計","")))))</f>
        <v/>
      </c>
      <c r="O65" s="93" t="str">
        <f>IF($Y65="","",IF(AND($AG65&gt;=O$6,$AG65&lt;=(O$6+6)),"◆",IF(AND($AE65&lt;=(O$6+6),$AF65&gt;=O$6),"遅",IF(AND($AC65&lt;=(O$6+6),$AD65&gt;=O$6),IF(AND($AA65&lt;=(O$6+6),$AB65&gt;=O$6),"実","外"),IF(AND($AA65&lt;=(O$6+6),$AB65&gt;=O$6),"計","")))))</f>
        <v/>
      </c>
      <c r="P65" s="93" t="str">
        <f>IF($Y65="","",IF(AND($AG65&gt;=P$6,$AG65&lt;=(P$6+6)),"◆",IF(AND($AE65&lt;=(P$6+6),$AF65&gt;=P$6),"遅",IF(AND($AC65&lt;=(P$6+6),$AD65&gt;=P$6),IF(AND($AA65&lt;=(P$6+6),$AB65&gt;=P$6),"実","外"),IF(AND($AA65&lt;=(P$6+6),$AB65&gt;=P$6),"計","")))))</f>
        <v/>
      </c>
      <c r="Q65" s="93" t="str">
        <f>IF($Y65="","",IF(AND($AG65&gt;=Q$6,$AG65&lt;=(Q$6+6)),"◆",IF(AND($AE65&lt;=(Q$6+6),$AF65&gt;=Q$6),"遅",IF(AND($AC65&lt;=(Q$6+6),$AD65&gt;=Q$6),IF(AND($AA65&lt;=(Q$6+6),$AB65&gt;=Q$6),"実","外"),IF(AND($AA65&lt;=(Q$6+6),$AB65&gt;=Q$6),"計","")))))</f>
        <v/>
      </c>
      <c r="R65" s="93" t="str">
        <f>IF($Y65="","",IF(AND($AG65&gt;=R$6,$AG65&lt;=(R$6+6)),"◆",IF(AND($AE65&lt;=(R$6+6),$AF65&gt;=R$6),"遅",IF(AND($AC65&lt;=(R$6+6),$AD65&gt;=R$6),IF(AND($AA65&lt;=(R$6+6),$AB65&gt;=R$6),"実","外"),IF(AND($AA65&lt;=(R$6+6),$AB65&gt;=R$6),"計","")))))</f>
        <v/>
      </c>
      <c r="S65" s="93" t="str">
        <f>IF($Y65="","",IF(AND($AG65&gt;=S$6,$AG65&lt;=(S$6+6)),"◆",IF(AND($AE65&lt;=(S$6+6),$AF65&gt;=S$6),"遅",IF(AND($AC65&lt;=(S$6+6),$AD65&gt;=S$6),IF(AND($AA65&lt;=(S$6+6),$AB65&gt;=S$6),"実","外"),IF(AND($AA65&lt;=(S$6+6),$AB65&gt;=S$6),"計","")))))</f>
        <v/>
      </c>
      <c r="T65" s="93" t="str">
        <f>IF($Y65="","",IF(AND($AG65&gt;=T$6,$AG65&lt;=(T$6+6)),"◆",IF(AND($AE65&lt;=(T$6+6),$AF65&gt;=T$6),"遅",IF(AND($AC65&lt;=(T$6+6),$AD65&gt;=T$6),IF(AND($AA65&lt;=(T$6+6),$AB65&gt;=T$6),"実","外"),IF(AND($AA65&lt;=(T$6+6),$AB65&gt;=T$6),"計","")))))</f>
        <v/>
      </c>
      <c r="U65" s="93" t="str">
        <f>IF($Y65="","",IF(AND($AG65&gt;=U$6,$AG65&lt;=(U$6+6)),"◆",IF(AND($AE65&lt;=(U$6+6),$AF65&gt;=U$6),"遅",IF(AND($AC65&lt;=(U$6+6),$AD65&gt;=U$6),IF(AND($AA65&lt;=(U$6+6),$AB65&gt;=U$6),"実","外"),IF(AND($AA65&lt;=(U$6+6),$AB65&gt;=U$6),"計","")))))</f>
        <v/>
      </c>
      <c r="V65" s="93" t="str">
        <f>IF($Y65="","",IF(AND($AG65&gt;=V$6,$AG65&lt;=(V$6+6)),"◆",IF(AND($AE65&lt;=(V$6+6),$AF65&gt;=V$6),"遅",IF(AND($AC65&lt;=(V$6+6),$AD65&gt;=V$6),IF(AND($AA65&lt;=(V$6+6),$AB65&gt;=V$6),"実","外"),IF(AND($AA65&lt;=(V$6+6),$AB65&gt;=V$6),"計","")))))</f>
        <v/>
      </c>
      <c r="W65" s="93" t="str">
        <f>IF($Y65="","",IF(AND($AG65&gt;=W$6,$AG65&lt;=(W$6+6)),"◆",IF(AND($AE65&lt;=(W$6+6),$AF65&gt;=W$6),"遅",IF(AND($AC65&lt;=(W$6+6),$AD65&gt;=W$6),IF(AND($AA65&lt;=(W$6+6),$AB65&gt;=W$6),"実","外"),IF(AND($AA65&lt;=(W$6+6),$AB65&gt;=W$6),"計","")))))</f>
        <v/>
      </c>
      <c r="Y65" t="str">
        <f>IF(58&gt;COUNTIF(tblSteps[週別対象],1),"",IFERROR(MATCH(58,tblSteps[週別順位],0),""))</f>
        <v/>
      </c>
      <c r="Z65" t="str">
        <f>IF($Y65="","",INDEX(tblSteps[案件ID],$Y65)&amp;"")</f>
        <v/>
      </c>
      <c r="AA65" t="str">
        <f>IF($Y65="","",INDEX(tblSteps[計開],$Y65))</f>
        <v/>
      </c>
      <c r="AB65" t="str">
        <f>IF($Y65="","",INDEX(tblSteps[計終],$Y65))</f>
        <v/>
      </c>
      <c r="AC65" t="str">
        <f>IF($Y65="","",INDEX(tblSteps[実開],$Y65))</f>
        <v/>
      </c>
      <c r="AD65" t="str">
        <f>IF($Y65="","",INDEX(tblSteps[実終],$Y65))</f>
        <v/>
      </c>
      <c r="AE65" t="str">
        <f>IF($Y65="","",INDEX(tblSteps[遅開],$Y65))</f>
        <v/>
      </c>
      <c r="AF65" t="str">
        <f>IF($Y65="","",INDEX(tblSteps[遅終],$Y65))</f>
        <v/>
      </c>
      <c r="AG65" t="str">
        <f>IF($Y65="","",INDEX(tblSteps[納期値],$Y65))</f>
        <v/>
      </c>
    </row>
    <row r="66" ht="18" customHeight="1">
      <c r="A66" s="89" t="str">
        <f>IF($Y66="","",INDEX(tblSteps[工程ID],$Y66)&amp;"")</f>
        <v/>
      </c>
      <c r="B66" s="88" t="str">
        <f>IF($Y66="","",IF($Z66=$Z65,"",$Z66&amp;" "&amp;INDEX(tblSteps[案件名],$Y66)))</f>
        <v/>
      </c>
      <c r="C66" s="88" t="str">
        <f>IF($Y66="","",INDEX(tblSteps[工程名],$Y66)&amp;"")</f>
        <v/>
      </c>
      <c r="D66" s="89" t="str">
        <f>IF($Y66="","",INDEX(tblSteps[担当],$Y66)&amp;"")</f>
        <v/>
      </c>
      <c r="E66" s="89" t="str">
        <f>IF($Y66="","",INDEX(tblSteps[状態],$Y66)&amp;"")</f>
        <v/>
      </c>
      <c r="F66" s="90" t="str">
        <f>IF($Y66="","",IF(ISNUMBER(INDEX(tblSteps[進捗率],$Y66)),INDEX(tblSteps[進捗率],$Y66),""))</f>
        <v/>
      </c>
      <c r="G66" s="91" t="str">
        <f>IF($Y66="","",IF(ISNUMBER(INDEX(tblSteps[計画開始日],$Y66)),INDEX(tblSteps[計画開始日],$Y66),"未入力"))</f>
        <v/>
      </c>
      <c r="H66" s="91" t="str">
        <f>IF($Y66="","",IF(ISNUMBER(INDEX(tblSteps[計画終了日],$Y66)),INDEX(tblSteps[計画終了日],$Y66),"未入力"))</f>
        <v/>
      </c>
      <c r="I66" s="91" t="str">
        <f>IF($Y66="","",IF(ISNUMBER(INDEX(tblSteps[完了見込日],$Y66)),INDEX(tblSteps[完了見込日],$Y66),""))</f>
        <v/>
      </c>
      <c r="J66" s="92" t="str">
        <f>IF($Y66="","",INDEX(tblSteps[注意短],$Y66)&amp;"")</f>
        <v/>
      </c>
      <c r="K66" s="93" t="str">
        <f>IF($Y66="","",IF(AND($AG66&gt;=K$6,$AG66&lt;=(K$6+6)),"◆",IF(AND($AE66&lt;=(K$6+6),$AF66&gt;=K$6),"遅",IF(AND($AC66&lt;=(K$6+6),$AD66&gt;=K$6),IF(AND($AA66&lt;=(K$6+6),$AB66&gt;=K$6),"実","外"),IF(AND($AA66&lt;=(K$6+6),$AB66&gt;=K$6),"計","")))))</f>
        <v/>
      </c>
      <c r="L66" s="93" t="str">
        <f>IF($Y66="","",IF(AND($AG66&gt;=L$6,$AG66&lt;=(L$6+6)),"◆",IF(AND($AE66&lt;=(L$6+6),$AF66&gt;=L$6),"遅",IF(AND($AC66&lt;=(L$6+6),$AD66&gt;=L$6),IF(AND($AA66&lt;=(L$6+6),$AB66&gt;=L$6),"実","外"),IF(AND($AA66&lt;=(L$6+6),$AB66&gt;=L$6),"計","")))))</f>
        <v/>
      </c>
      <c r="M66" s="93" t="str">
        <f>IF($Y66="","",IF(AND($AG66&gt;=M$6,$AG66&lt;=(M$6+6)),"◆",IF(AND($AE66&lt;=(M$6+6),$AF66&gt;=M$6),"遅",IF(AND($AC66&lt;=(M$6+6),$AD66&gt;=M$6),IF(AND($AA66&lt;=(M$6+6),$AB66&gt;=M$6),"実","外"),IF(AND($AA66&lt;=(M$6+6),$AB66&gt;=M$6),"計","")))))</f>
        <v/>
      </c>
      <c r="N66" s="93" t="str">
        <f>IF($Y66="","",IF(AND($AG66&gt;=N$6,$AG66&lt;=(N$6+6)),"◆",IF(AND($AE66&lt;=(N$6+6),$AF66&gt;=N$6),"遅",IF(AND($AC66&lt;=(N$6+6),$AD66&gt;=N$6),IF(AND($AA66&lt;=(N$6+6),$AB66&gt;=N$6),"実","外"),IF(AND($AA66&lt;=(N$6+6),$AB66&gt;=N$6),"計","")))))</f>
        <v/>
      </c>
      <c r="O66" s="93" t="str">
        <f>IF($Y66="","",IF(AND($AG66&gt;=O$6,$AG66&lt;=(O$6+6)),"◆",IF(AND($AE66&lt;=(O$6+6),$AF66&gt;=O$6),"遅",IF(AND($AC66&lt;=(O$6+6),$AD66&gt;=O$6),IF(AND($AA66&lt;=(O$6+6),$AB66&gt;=O$6),"実","外"),IF(AND($AA66&lt;=(O$6+6),$AB66&gt;=O$6),"計","")))))</f>
        <v/>
      </c>
      <c r="P66" s="93" t="str">
        <f>IF($Y66="","",IF(AND($AG66&gt;=P$6,$AG66&lt;=(P$6+6)),"◆",IF(AND($AE66&lt;=(P$6+6),$AF66&gt;=P$6),"遅",IF(AND($AC66&lt;=(P$6+6),$AD66&gt;=P$6),IF(AND($AA66&lt;=(P$6+6),$AB66&gt;=P$6),"実","外"),IF(AND($AA66&lt;=(P$6+6),$AB66&gt;=P$6),"計","")))))</f>
        <v/>
      </c>
      <c r="Q66" s="93" t="str">
        <f>IF($Y66="","",IF(AND($AG66&gt;=Q$6,$AG66&lt;=(Q$6+6)),"◆",IF(AND($AE66&lt;=(Q$6+6),$AF66&gt;=Q$6),"遅",IF(AND($AC66&lt;=(Q$6+6),$AD66&gt;=Q$6),IF(AND($AA66&lt;=(Q$6+6),$AB66&gt;=Q$6),"実","外"),IF(AND($AA66&lt;=(Q$6+6),$AB66&gt;=Q$6),"計","")))))</f>
        <v/>
      </c>
      <c r="R66" s="93" t="str">
        <f>IF($Y66="","",IF(AND($AG66&gt;=R$6,$AG66&lt;=(R$6+6)),"◆",IF(AND($AE66&lt;=(R$6+6),$AF66&gt;=R$6),"遅",IF(AND($AC66&lt;=(R$6+6),$AD66&gt;=R$6),IF(AND($AA66&lt;=(R$6+6),$AB66&gt;=R$6),"実","外"),IF(AND($AA66&lt;=(R$6+6),$AB66&gt;=R$6),"計","")))))</f>
        <v/>
      </c>
      <c r="S66" s="93" t="str">
        <f>IF($Y66="","",IF(AND($AG66&gt;=S$6,$AG66&lt;=(S$6+6)),"◆",IF(AND($AE66&lt;=(S$6+6),$AF66&gt;=S$6),"遅",IF(AND($AC66&lt;=(S$6+6),$AD66&gt;=S$6),IF(AND($AA66&lt;=(S$6+6),$AB66&gt;=S$6),"実","外"),IF(AND($AA66&lt;=(S$6+6),$AB66&gt;=S$6),"計","")))))</f>
        <v/>
      </c>
      <c r="T66" s="93" t="str">
        <f>IF($Y66="","",IF(AND($AG66&gt;=T$6,$AG66&lt;=(T$6+6)),"◆",IF(AND($AE66&lt;=(T$6+6),$AF66&gt;=T$6),"遅",IF(AND($AC66&lt;=(T$6+6),$AD66&gt;=T$6),IF(AND($AA66&lt;=(T$6+6),$AB66&gt;=T$6),"実","外"),IF(AND($AA66&lt;=(T$6+6),$AB66&gt;=T$6),"計","")))))</f>
        <v/>
      </c>
      <c r="U66" s="93" t="str">
        <f>IF($Y66="","",IF(AND($AG66&gt;=U$6,$AG66&lt;=(U$6+6)),"◆",IF(AND($AE66&lt;=(U$6+6),$AF66&gt;=U$6),"遅",IF(AND($AC66&lt;=(U$6+6),$AD66&gt;=U$6),IF(AND($AA66&lt;=(U$6+6),$AB66&gt;=U$6),"実","外"),IF(AND($AA66&lt;=(U$6+6),$AB66&gt;=U$6),"計","")))))</f>
        <v/>
      </c>
      <c r="V66" s="93" t="str">
        <f>IF($Y66="","",IF(AND($AG66&gt;=V$6,$AG66&lt;=(V$6+6)),"◆",IF(AND($AE66&lt;=(V$6+6),$AF66&gt;=V$6),"遅",IF(AND($AC66&lt;=(V$6+6),$AD66&gt;=V$6),IF(AND($AA66&lt;=(V$6+6),$AB66&gt;=V$6),"実","外"),IF(AND($AA66&lt;=(V$6+6),$AB66&gt;=V$6),"計","")))))</f>
        <v/>
      </c>
      <c r="W66" s="93" t="str">
        <f>IF($Y66="","",IF(AND($AG66&gt;=W$6,$AG66&lt;=(W$6+6)),"◆",IF(AND($AE66&lt;=(W$6+6),$AF66&gt;=W$6),"遅",IF(AND($AC66&lt;=(W$6+6),$AD66&gt;=W$6),IF(AND($AA66&lt;=(W$6+6),$AB66&gt;=W$6),"実","外"),IF(AND($AA66&lt;=(W$6+6),$AB66&gt;=W$6),"計","")))))</f>
        <v/>
      </c>
      <c r="Y66" t="str">
        <f>IF(59&gt;COUNTIF(tblSteps[週別対象],1),"",IFERROR(MATCH(59,tblSteps[週別順位],0),""))</f>
        <v/>
      </c>
      <c r="Z66" t="str">
        <f>IF($Y66="","",INDEX(tblSteps[案件ID],$Y66)&amp;"")</f>
        <v/>
      </c>
      <c r="AA66" t="str">
        <f>IF($Y66="","",INDEX(tblSteps[計開],$Y66))</f>
        <v/>
      </c>
      <c r="AB66" t="str">
        <f>IF($Y66="","",INDEX(tblSteps[計終],$Y66))</f>
        <v/>
      </c>
      <c r="AC66" t="str">
        <f>IF($Y66="","",INDEX(tblSteps[実開],$Y66))</f>
        <v/>
      </c>
      <c r="AD66" t="str">
        <f>IF($Y66="","",INDEX(tblSteps[実終],$Y66))</f>
        <v/>
      </c>
      <c r="AE66" t="str">
        <f>IF($Y66="","",INDEX(tblSteps[遅開],$Y66))</f>
        <v/>
      </c>
      <c r="AF66" t="str">
        <f>IF($Y66="","",INDEX(tblSteps[遅終],$Y66))</f>
        <v/>
      </c>
      <c r="AG66" t="str">
        <f>IF($Y66="","",INDEX(tblSteps[納期値],$Y66))</f>
        <v/>
      </c>
    </row>
    <row r="67" ht="18" customHeight="1">
      <c r="A67" s="89" t="str">
        <f>IF($Y67="","",INDEX(tblSteps[工程ID],$Y67)&amp;"")</f>
        <v/>
      </c>
      <c r="B67" s="88" t="str">
        <f>IF($Y67="","",IF($Z67=$Z66,"",$Z67&amp;" "&amp;INDEX(tblSteps[案件名],$Y67)))</f>
        <v/>
      </c>
      <c r="C67" s="88" t="str">
        <f>IF($Y67="","",INDEX(tblSteps[工程名],$Y67)&amp;"")</f>
        <v/>
      </c>
      <c r="D67" s="89" t="str">
        <f>IF($Y67="","",INDEX(tblSteps[担当],$Y67)&amp;"")</f>
        <v/>
      </c>
      <c r="E67" s="89" t="str">
        <f>IF($Y67="","",INDEX(tblSteps[状態],$Y67)&amp;"")</f>
        <v/>
      </c>
      <c r="F67" s="90" t="str">
        <f>IF($Y67="","",IF(ISNUMBER(INDEX(tblSteps[進捗率],$Y67)),INDEX(tblSteps[進捗率],$Y67),""))</f>
        <v/>
      </c>
      <c r="G67" s="91" t="str">
        <f>IF($Y67="","",IF(ISNUMBER(INDEX(tblSteps[計画開始日],$Y67)),INDEX(tblSteps[計画開始日],$Y67),"未入力"))</f>
        <v/>
      </c>
      <c r="H67" s="91" t="str">
        <f>IF($Y67="","",IF(ISNUMBER(INDEX(tblSteps[計画終了日],$Y67)),INDEX(tblSteps[計画終了日],$Y67),"未入力"))</f>
        <v/>
      </c>
      <c r="I67" s="91" t="str">
        <f>IF($Y67="","",IF(ISNUMBER(INDEX(tblSteps[完了見込日],$Y67)),INDEX(tblSteps[完了見込日],$Y67),""))</f>
        <v/>
      </c>
      <c r="J67" s="92" t="str">
        <f>IF($Y67="","",INDEX(tblSteps[注意短],$Y67)&amp;"")</f>
        <v/>
      </c>
      <c r="K67" s="93" t="str">
        <f>IF($Y67="","",IF(AND($AG67&gt;=K$6,$AG67&lt;=(K$6+6)),"◆",IF(AND($AE67&lt;=(K$6+6),$AF67&gt;=K$6),"遅",IF(AND($AC67&lt;=(K$6+6),$AD67&gt;=K$6),IF(AND($AA67&lt;=(K$6+6),$AB67&gt;=K$6),"実","外"),IF(AND($AA67&lt;=(K$6+6),$AB67&gt;=K$6),"計","")))))</f>
        <v/>
      </c>
      <c r="L67" s="93" t="str">
        <f>IF($Y67="","",IF(AND($AG67&gt;=L$6,$AG67&lt;=(L$6+6)),"◆",IF(AND($AE67&lt;=(L$6+6),$AF67&gt;=L$6),"遅",IF(AND($AC67&lt;=(L$6+6),$AD67&gt;=L$6),IF(AND($AA67&lt;=(L$6+6),$AB67&gt;=L$6),"実","外"),IF(AND($AA67&lt;=(L$6+6),$AB67&gt;=L$6),"計","")))))</f>
        <v/>
      </c>
      <c r="M67" s="93" t="str">
        <f>IF($Y67="","",IF(AND($AG67&gt;=M$6,$AG67&lt;=(M$6+6)),"◆",IF(AND($AE67&lt;=(M$6+6),$AF67&gt;=M$6),"遅",IF(AND($AC67&lt;=(M$6+6),$AD67&gt;=M$6),IF(AND($AA67&lt;=(M$6+6),$AB67&gt;=M$6),"実","外"),IF(AND($AA67&lt;=(M$6+6),$AB67&gt;=M$6),"計","")))))</f>
        <v/>
      </c>
      <c r="N67" s="93" t="str">
        <f>IF($Y67="","",IF(AND($AG67&gt;=N$6,$AG67&lt;=(N$6+6)),"◆",IF(AND($AE67&lt;=(N$6+6),$AF67&gt;=N$6),"遅",IF(AND($AC67&lt;=(N$6+6),$AD67&gt;=N$6),IF(AND($AA67&lt;=(N$6+6),$AB67&gt;=N$6),"実","外"),IF(AND($AA67&lt;=(N$6+6),$AB67&gt;=N$6),"計","")))))</f>
        <v/>
      </c>
      <c r="O67" s="93" t="str">
        <f>IF($Y67="","",IF(AND($AG67&gt;=O$6,$AG67&lt;=(O$6+6)),"◆",IF(AND($AE67&lt;=(O$6+6),$AF67&gt;=O$6),"遅",IF(AND($AC67&lt;=(O$6+6),$AD67&gt;=O$6),IF(AND($AA67&lt;=(O$6+6),$AB67&gt;=O$6),"実","外"),IF(AND($AA67&lt;=(O$6+6),$AB67&gt;=O$6),"計","")))))</f>
        <v/>
      </c>
      <c r="P67" s="93" t="str">
        <f>IF($Y67="","",IF(AND($AG67&gt;=P$6,$AG67&lt;=(P$6+6)),"◆",IF(AND($AE67&lt;=(P$6+6),$AF67&gt;=P$6),"遅",IF(AND($AC67&lt;=(P$6+6),$AD67&gt;=P$6),IF(AND($AA67&lt;=(P$6+6),$AB67&gt;=P$6),"実","外"),IF(AND($AA67&lt;=(P$6+6),$AB67&gt;=P$6),"計","")))))</f>
        <v/>
      </c>
      <c r="Q67" s="93" t="str">
        <f>IF($Y67="","",IF(AND($AG67&gt;=Q$6,$AG67&lt;=(Q$6+6)),"◆",IF(AND($AE67&lt;=(Q$6+6),$AF67&gt;=Q$6),"遅",IF(AND($AC67&lt;=(Q$6+6),$AD67&gt;=Q$6),IF(AND($AA67&lt;=(Q$6+6),$AB67&gt;=Q$6),"実","外"),IF(AND($AA67&lt;=(Q$6+6),$AB67&gt;=Q$6),"計","")))))</f>
        <v/>
      </c>
      <c r="R67" s="93" t="str">
        <f>IF($Y67="","",IF(AND($AG67&gt;=R$6,$AG67&lt;=(R$6+6)),"◆",IF(AND($AE67&lt;=(R$6+6),$AF67&gt;=R$6),"遅",IF(AND($AC67&lt;=(R$6+6),$AD67&gt;=R$6),IF(AND($AA67&lt;=(R$6+6),$AB67&gt;=R$6),"実","外"),IF(AND($AA67&lt;=(R$6+6),$AB67&gt;=R$6),"計","")))))</f>
        <v/>
      </c>
      <c r="S67" s="93" t="str">
        <f>IF($Y67="","",IF(AND($AG67&gt;=S$6,$AG67&lt;=(S$6+6)),"◆",IF(AND($AE67&lt;=(S$6+6),$AF67&gt;=S$6),"遅",IF(AND($AC67&lt;=(S$6+6),$AD67&gt;=S$6),IF(AND($AA67&lt;=(S$6+6),$AB67&gt;=S$6),"実","外"),IF(AND($AA67&lt;=(S$6+6),$AB67&gt;=S$6),"計","")))))</f>
        <v/>
      </c>
      <c r="T67" s="93" t="str">
        <f>IF($Y67="","",IF(AND($AG67&gt;=T$6,$AG67&lt;=(T$6+6)),"◆",IF(AND($AE67&lt;=(T$6+6),$AF67&gt;=T$6),"遅",IF(AND($AC67&lt;=(T$6+6),$AD67&gt;=T$6),IF(AND($AA67&lt;=(T$6+6),$AB67&gt;=T$6),"実","外"),IF(AND($AA67&lt;=(T$6+6),$AB67&gt;=T$6),"計","")))))</f>
        <v/>
      </c>
      <c r="U67" s="93" t="str">
        <f>IF($Y67="","",IF(AND($AG67&gt;=U$6,$AG67&lt;=(U$6+6)),"◆",IF(AND($AE67&lt;=(U$6+6),$AF67&gt;=U$6),"遅",IF(AND($AC67&lt;=(U$6+6),$AD67&gt;=U$6),IF(AND($AA67&lt;=(U$6+6),$AB67&gt;=U$6),"実","外"),IF(AND($AA67&lt;=(U$6+6),$AB67&gt;=U$6),"計","")))))</f>
        <v/>
      </c>
      <c r="V67" s="93" t="str">
        <f>IF($Y67="","",IF(AND($AG67&gt;=V$6,$AG67&lt;=(V$6+6)),"◆",IF(AND($AE67&lt;=(V$6+6),$AF67&gt;=V$6),"遅",IF(AND($AC67&lt;=(V$6+6),$AD67&gt;=V$6),IF(AND($AA67&lt;=(V$6+6),$AB67&gt;=V$6),"実","外"),IF(AND($AA67&lt;=(V$6+6),$AB67&gt;=V$6),"計","")))))</f>
        <v/>
      </c>
      <c r="W67" s="93" t="str">
        <f>IF($Y67="","",IF(AND($AG67&gt;=W$6,$AG67&lt;=(W$6+6)),"◆",IF(AND($AE67&lt;=(W$6+6),$AF67&gt;=W$6),"遅",IF(AND($AC67&lt;=(W$6+6),$AD67&gt;=W$6),IF(AND($AA67&lt;=(W$6+6),$AB67&gt;=W$6),"実","外"),IF(AND($AA67&lt;=(W$6+6),$AB67&gt;=W$6),"計","")))))</f>
        <v/>
      </c>
      <c r="Y67" t="str">
        <f>IF(60&gt;COUNTIF(tblSteps[週別対象],1),"",IFERROR(MATCH(60,tblSteps[週別順位],0),""))</f>
        <v/>
      </c>
      <c r="Z67" t="str">
        <f>IF($Y67="","",INDEX(tblSteps[案件ID],$Y67)&amp;"")</f>
        <v/>
      </c>
      <c r="AA67" t="str">
        <f>IF($Y67="","",INDEX(tblSteps[計開],$Y67))</f>
        <v/>
      </c>
      <c r="AB67" t="str">
        <f>IF($Y67="","",INDEX(tblSteps[計終],$Y67))</f>
        <v/>
      </c>
      <c r="AC67" t="str">
        <f>IF($Y67="","",INDEX(tblSteps[実開],$Y67))</f>
        <v/>
      </c>
      <c r="AD67" t="str">
        <f>IF($Y67="","",INDEX(tblSteps[実終],$Y67))</f>
        <v/>
      </c>
      <c r="AE67" t="str">
        <f>IF($Y67="","",INDEX(tblSteps[遅開],$Y67))</f>
        <v/>
      </c>
      <c r="AF67" t="str">
        <f>IF($Y67="","",INDEX(tblSteps[遅終],$Y67))</f>
        <v/>
      </c>
      <c r="AG67" t="str">
        <f>IF($Y67="","",INDEX(tblSteps[納期値],$Y67))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3">
    <mergeCell ref="I5:I7"/>
    <mergeCell ref="D5:D7"/>
    <mergeCell ref="A4:J4"/>
    <mergeCell ref="A5:A7"/>
    <mergeCell ref="G5:G7"/>
    <mergeCell ref="B5:B7"/>
    <mergeCell ref="K3:N3"/>
    <mergeCell ref="K1:L1"/>
    <mergeCell ref="H5:H7"/>
    <mergeCell ref="O4:P4"/>
    <mergeCell ref="J5:J7"/>
    <mergeCell ref="G3:H3"/>
    <mergeCell ref="Q4:R4"/>
    <mergeCell ref="I3:J3"/>
    <mergeCell ref="C5:C7"/>
    <mergeCell ref="E5:E7"/>
    <mergeCell ref="F5:F7"/>
    <mergeCell ref="H1:J1"/>
    <mergeCell ref="K4:L4"/>
    <mergeCell ref="M4:N4"/>
    <mergeCell ref="S4:T4"/>
    <mergeCell ref="E3:F3"/>
    <mergeCell ref="U4:V4"/>
  </mergeCells>
  <conditionalFormatting sqref="K5:W7">
    <cfRule type="expression" priority="1" dxfId="5" stopIfTrue="1">
      <formula>AND(RefDate&gt;=K$6,RefDate&lt;=K$6+6)</formula>
    </cfRule>
  </conditionalFormatting>
  <conditionalFormatting sqref="K8:W67">
    <cfRule type="expression" priority="2" dxfId="7" stopIfTrue="1">
      <formula>K8="計"</formula>
    </cfRule>
    <cfRule type="expression" priority="3" dxfId="8" stopIfTrue="1">
      <formula>K8="実"</formula>
    </cfRule>
    <cfRule type="expression" priority="4" dxfId="9" stopIfTrue="1">
      <formula>K8="外"</formula>
    </cfRule>
    <cfRule type="expression" priority="5" dxfId="10" stopIfTrue="1">
      <formula>K8="遅"</formula>
    </cfRule>
    <cfRule type="expression" priority="6" dxfId="11" stopIfTrue="1">
      <formula>K8="◆"</formula>
    </cfRule>
    <cfRule type="expression" priority="7" dxfId="12" stopIfTrue="1">
      <formula>AND(RefDate&gt;=K$6,RefDate&lt;=K$6+6)</formula>
    </cfRule>
  </conditionalFormatting>
  <conditionalFormatting sqref="A8:W67">
    <cfRule type="expression" priority="8" dxfId="14" stopIfTrue="0">
      <formula>AND($Y8&lt;&gt;"",$Z8&lt;&gt;$Z7)</formula>
    </cfRule>
  </conditionalFormatting>
  <conditionalFormatting sqref="J8:J67">
    <cfRule type="expression" priority="9" dxfId="3" stopIfTrue="1">
      <formula>OR(LEFT(J8,4)="期限超過",J8="納期遅れ見込")</formula>
    </cfRule>
    <cfRule type="expression" priority="10" dxfId="2" stopIfTrue="1">
      <formula>OR(J8="入力要確認",LEFT(J8,2)="見込",J8="重複の可能性",LEFT(J8,4)="完了遅延")</formula>
    </cfRule>
    <cfRule type="expression" priority="11" dxfId="4" stopIfTrue="1">
      <formula>J8="完了"</formula>
    </cfRule>
  </conditionalFormatting>
  <conditionalFormatting sqref="F8:F67">
    <cfRule type="dataBar" priority="12">
      <dataBar showValue="1">
        <cfvo type="num" val="0"/>
        <cfvo type="num" val="1"/>
        <color rgb="002F6BDB"/>
      </dataBar>
    </cfRule>
  </conditionalFormatting>
  <dataValidations count="2">
    <dataValidation sqref="C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員／担当者で絞り込みます。" type="list" errorStyle="stop">
      <formula1>=dv_StaffAll</formula1>
    </dataValidation>
    <dataValidation sqref="E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案件／案件IDで絞り込みます。" type="list" errorStyle="stop">
      <formula1>=dv_ProjAll</formula1>
    </dataValidation>
  </dataValidations>
  <hyperlinks>
    <hyperlink ref="K1" location="'01_全体ホーム'!A1" display="← ホームへ"/>
    <hyperlink ref="K3" location="'07_設定'!C9" display="▶ 表示開始日・基準日を変更（07_設定）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7FA800"/>
    <outlinePr summaryBelow="1" summaryRight="1"/>
    <pageSetUpPr fitToPage="1"/>
  </sheetPr>
  <dimension ref="A1:AL37"/>
  <sheetViews>
    <sheetView showGridLines="0" workbookViewId="0">
      <pane xSplit="8" ySplit="7" topLeftCell="I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18" customWidth="1" min="3" max="3"/>
    <col width="9" customWidth="1" min="4" max="4"/>
    <col width="11" customWidth="1" min="5" max="5"/>
    <col width="11" customWidth="1" min="6" max="6"/>
    <col width="7" customWidth="1" min="7" max="7"/>
    <col width="20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2" customWidth="1" min="31" max="31"/>
    <col hidden="1" width="8" customWidth="1" min="32" max="32"/>
    <col hidden="1" width="8" customWidth="1" min="33" max="33"/>
    <col hidden="1" width="8" customWidth="1" min="34" max="34"/>
    <col hidden="1" width="8" customWidth="1" min="35" max="35"/>
    <col hidden="1" width="8" customWidth="1" min="36" max="36"/>
    <col hidden="1" width="8" customWidth="1" min="37" max="37"/>
    <col hidden="1" width="8" customWidth="1" min="38" max="38"/>
  </cols>
  <sheetData>
    <row r="1" ht="30" customHeight="1">
      <c r="A1" s="1" t="inlineStr">
        <is>
          <t>当日時間割</t>
        </is>
      </c>
      <c r="B1" s="2" t="n"/>
      <c r="C1" s="2" t="n"/>
      <c r="D1" s="2" t="n"/>
      <c r="E1" s="2" t="n"/>
      <c r="F1" s="2" t="n"/>
      <c r="G1" s="3" t="inlineStr">
        <is>
          <t>サンプル（架空データ）</t>
        </is>
      </c>
      <c r="I1" s="35" t="inlineStr">
        <is>
          <t>← ホームへ</t>
        </is>
      </c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 ht="20" customHeight="1">
      <c r="A2" s="4" t="inlineStr">
        <is>
          <t>表示日に作業がある工程を、時間帯ごとの横棒で表示します。時刻を省略した工程は 07_設定 の既定時刻を使います。</t>
        </is>
      </c>
    </row>
    <row r="3" ht="24" customHeight="1">
      <c r="B3" s="6" t="inlineStr">
        <is>
          <t>担当</t>
        </is>
      </c>
      <c r="C3" s="64" t="inlineStr">
        <is>
          <t>全員</t>
        </is>
      </c>
      <c r="D3" s="6" t="inlineStr">
        <is>
          <t>案件</t>
        </is>
      </c>
      <c r="E3" s="64" t="inlineStr">
        <is>
          <t>全案件</t>
        </is>
      </c>
      <c r="F3" s="6" t="inlineStr">
        <is>
          <t>表示日</t>
        </is>
      </c>
      <c r="G3" s="66">
        <f>TTDate</f>
        <v>46300.0</v>
      </c>
      <c r="I3" s="97" t="inlineStr">
        <is>
          <t>▶ 表示日・時間粒度を変更（07_設定）</t>
        </is>
      </c>
    </row>
    <row r="4" ht="22" customHeight="1">
      <c r="A4" s="68" t="str">
        <f>TEXT(TTDate,"m/d")&amp;"　"&amp;TTStep&amp;"分単位（"&amp;TEXT(TTStart,"h:mm")&amp;"〜"&amp;TEXT(TTEnd,"h:mm")&amp;"）　表示 "&amp;MIN(30,COUNTIF(tblSteps[時間割対象],1))&amp;" 件／対象 "&amp;COUNTIF(tblSteps[時間割対象],1)&amp;" 件"&amp;IF(COUNTIF(tblSteps[時間割対象],1)&gt;30,"　▲上限30行を超えた "&amp;(COUNTIF(tblSteps[時間割対象],1)-30)&amp;" 件は未表示。担当・案件で絞り込んでください","")&amp;IF(AND(TTStep&lt;&gt;30,TTStep&lt;&gt;60),"　▲時間粒度は30か60にしてください","")</f>
        <v>10/5　30分単位（8:00〜19:00）　表示 10 件／対象 10 件</v>
      </c>
      <c r="I4" s="71" t="inlineStr">
        <is>
          <t>作業予定</t>
        </is>
      </c>
      <c r="J4" s="72" t="n"/>
      <c r="K4" s="72" t="n"/>
      <c r="L4" s="98" t="inlineStr">
        <is>
          <t>重複の可能性</t>
        </is>
      </c>
      <c r="M4" s="99" t="n"/>
      <c r="N4" s="99" t="n"/>
      <c r="O4" s="81" t="inlineStr">
        <is>
          <t>枠なし</t>
        </is>
      </c>
      <c r="P4" s="82" t="n"/>
      <c r="Q4" s="82" t="n"/>
    </row>
    <row r="5" ht="18" customHeight="1">
      <c r="A5" s="83" t="inlineStr">
        <is>
          <t>工程ID</t>
        </is>
      </c>
      <c r="B5" s="83" t="inlineStr">
        <is>
          <t>案件</t>
        </is>
      </c>
      <c r="C5" s="83" t="inlineStr">
        <is>
          <t>工程</t>
        </is>
      </c>
      <c r="D5" s="83" t="inlineStr">
        <is>
          <t>担当</t>
        </is>
      </c>
      <c r="E5" s="83" t="inlineStr">
        <is>
          <t>開始</t>
        </is>
      </c>
      <c r="F5" s="83" t="inlineStr">
        <is>
          <t>終了</t>
        </is>
      </c>
      <c r="G5" s="83" t="inlineStr">
        <is>
          <t>状態</t>
        </is>
      </c>
      <c r="H5" s="83" t="inlineStr">
        <is>
          <t>注意</t>
        </is>
      </c>
      <c r="I5" s="100" t="inlineStr">
        <is>
          <t>複数日の工程は開始日時〜終了日時の連続期間として表示（中日は終日）。毎日の作業時間帯を示す場合は、日ごとに工程を分けて登録します。</t>
        </is>
      </c>
    </row>
    <row r="6" ht="18" customHeight="1">
      <c r="I6" s="101">
        <f>TTStart</f>
        <v>0.3333333333333333</v>
      </c>
      <c r="J6" s="101">
        <f>IF(I6="","",IF(ROUND((I6+TTStep/1440)*1440,0)&lt;ROUND(TTEnd*1440,0),I6+TTStep/1440,""))</f>
        <v>0.3541666666666667</v>
      </c>
      <c r="K6" s="101">
        <f>IF(J6="","",IF(ROUND((J6+TTStep/1440)*1440,0)&lt;ROUND(TTEnd*1440,0),J6+TTStep/1440,""))</f>
        <v>0.375</v>
      </c>
      <c r="L6" s="101">
        <f>IF(K6="","",IF(ROUND((K6+TTStep/1440)*1440,0)&lt;ROUND(TTEnd*1440,0),K6+TTStep/1440,""))</f>
        <v>0.3958333333333333</v>
      </c>
      <c r="M6" s="101">
        <f>IF(L6="","",IF(ROUND((L6+TTStep/1440)*1440,0)&lt;ROUND(TTEnd*1440,0),L6+TTStep/1440,""))</f>
        <v>0.4166666666666667</v>
      </c>
      <c r="N6" s="101">
        <f>IF(M6="","",IF(ROUND((M6+TTStep/1440)*1440,0)&lt;ROUND(TTEnd*1440,0),M6+TTStep/1440,""))</f>
        <v>0.4375</v>
      </c>
      <c r="O6" s="101">
        <f>IF(N6="","",IF(ROUND((N6+TTStep/1440)*1440,0)&lt;ROUND(TTEnd*1440,0),N6+TTStep/1440,""))</f>
        <v>0.4583333333333333</v>
      </c>
      <c r="P6" s="101">
        <f>IF(O6="","",IF(ROUND((O6+TTStep/1440)*1440,0)&lt;ROUND(TTEnd*1440,0),O6+TTStep/1440,""))</f>
        <v>0.4791666666666667</v>
      </c>
      <c r="Q6" s="101">
        <f>IF(P6="","",IF(ROUND((P6+TTStep/1440)*1440,0)&lt;ROUND(TTEnd*1440,0),P6+TTStep/1440,""))</f>
        <v>0.5</v>
      </c>
      <c r="R6" s="101">
        <f>IF(Q6="","",IF(ROUND((Q6+TTStep/1440)*1440,0)&lt;ROUND(TTEnd*1440,0),Q6+TTStep/1440,""))</f>
        <v>0.5208333333333334</v>
      </c>
      <c r="S6" s="101">
        <f>IF(R6="","",IF(ROUND((R6+TTStep/1440)*1440,0)&lt;ROUND(TTEnd*1440,0),R6+TTStep/1440,""))</f>
        <v>0.5416666666666666</v>
      </c>
      <c r="T6" s="101">
        <f>IF(S6="","",IF(ROUND((S6+TTStep/1440)*1440,0)&lt;ROUND(TTEnd*1440,0),S6+TTStep/1440,""))</f>
        <v>0.5625</v>
      </c>
      <c r="U6" s="101">
        <f>IF(T6="","",IF(ROUND((T6+TTStep/1440)*1440,0)&lt;ROUND(TTEnd*1440,0),T6+TTStep/1440,""))</f>
        <v>0.5833333333333334</v>
      </c>
      <c r="V6" s="101">
        <f>IF(U6="","",IF(ROUND((U6+TTStep/1440)*1440,0)&lt;ROUND(TTEnd*1440,0),U6+TTStep/1440,""))</f>
        <v>0.6041666666666666</v>
      </c>
      <c r="W6" s="101">
        <f>IF(V6="","",IF(ROUND((V6+TTStep/1440)*1440,0)&lt;ROUND(TTEnd*1440,0),V6+TTStep/1440,""))</f>
        <v>0.625</v>
      </c>
      <c r="X6" s="101">
        <f>IF(W6="","",IF(ROUND((W6+TTStep/1440)*1440,0)&lt;ROUND(TTEnd*1440,0),W6+TTStep/1440,""))</f>
        <v>0.6458333333333334</v>
      </c>
      <c r="Y6" s="101">
        <f>IF(X6="","",IF(ROUND((X6+TTStep/1440)*1440,0)&lt;ROUND(TTEnd*1440,0),X6+TTStep/1440,""))</f>
        <v>0.6666666666666666</v>
      </c>
      <c r="Z6" s="101">
        <f>IF(Y6="","",IF(ROUND((Y6+TTStep/1440)*1440,0)&lt;ROUND(TTEnd*1440,0),Y6+TTStep/1440,""))</f>
        <v>0.6875</v>
      </c>
      <c r="AA6" s="101">
        <f>IF(Z6="","",IF(ROUND((Z6+TTStep/1440)*1440,0)&lt;ROUND(TTEnd*1440,0),Z6+TTStep/1440,""))</f>
        <v>0.7083333333333334</v>
      </c>
      <c r="AB6" s="101">
        <f>IF(AA6="","",IF(ROUND((AA6+TTStep/1440)*1440,0)&lt;ROUND(TTEnd*1440,0),AA6+TTStep/1440,""))</f>
        <v>0.7291666666666666</v>
      </c>
      <c r="AC6" s="101">
        <f>IF(AB6="","",IF(ROUND((AB6+TTStep/1440)*1440,0)&lt;ROUND(TTEnd*1440,0),AB6+TTStep/1440,""))</f>
        <v>0.75</v>
      </c>
      <c r="AD6" s="101">
        <f>IF(AC6="","",IF(ROUND((AC6+TTStep/1440)*1440,0)&lt;ROUND(TTEnd*1440,0),AC6+TTStep/1440,""))</f>
        <v>0.7708333333333334</v>
      </c>
    </row>
    <row r="7" ht="4" customHeight="1">
      <c r="I7" s="102">
        <f>IF(I6="","",TTDate*1440+ROUND(I6*1440,0))</f>
        <v>66672480</v>
      </c>
      <c r="J7" s="102">
        <f>IF(J6="","",TTDate*1440+ROUND(J6*1440,0))</f>
        <v>66672510</v>
      </c>
      <c r="K7" s="102">
        <f>IF(K6="","",TTDate*1440+ROUND(K6*1440,0))</f>
        <v>66672540</v>
      </c>
      <c r="L7" s="102">
        <f>IF(L6="","",TTDate*1440+ROUND(L6*1440,0))</f>
        <v>66672570</v>
      </c>
      <c r="M7" s="102">
        <f>IF(M6="","",TTDate*1440+ROUND(M6*1440,0))</f>
        <v>66672600</v>
      </c>
      <c r="N7" s="102">
        <f>IF(N6="","",TTDate*1440+ROUND(N6*1440,0))</f>
        <v>66672630</v>
      </c>
      <c r="O7" s="102">
        <f>IF(O6="","",TTDate*1440+ROUND(O6*1440,0))</f>
        <v>66672660</v>
      </c>
      <c r="P7" s="102">
        <f>IF(P6="","",TTDate*1440+ROUND(P6*1440,0))</f>
        <v>66672690</v>
      </c>
      <c r="Q7" s="102">
        <f>IF(Q6="","",TTDate*1440+ROUND(Q6*1440,0))</f>
        <v>66672720</v>
      </c>
      <c r="R7" s="102">
        <f>IF(R6="","",TTDate*1440+ROUND(R6*1440,0))</f>
        <v>66672750</v>
      </c>
      <c r="S7" s="102">
        <f>IF(S6="","",TTDate*1440+ROUND(S6*1440,0))</f>
        <v>66672780</v>
      </c>
      <c r="T7" s="102">
        <f>IF(T6="","",TTDate*1440+ROUND(T6*1440,0))</f>
        <v>66672810</v>
      </c>
      <c r="U7" s="102">
        <f>IF(U6="","",TTDate*1440+ROUND(U6*1440,0))</f>
        <v>66672840</v>
      </c>
      <c r="V7" s="102">
        <f>IF(V6="","",TTDate*1440+ROUND(V6*1440,0))</f>
        <v>66672870</v>
      </c>
      <c r="W7" s="102">
        <f>IF(W6="","",TTDate*1440+ROUND(W6*1440,0))</f>
        <v>66672900</v>
      </c>
      <c r="X7" s="102">
        <f>IF(X6="","",TTDate*1440+ROUND(X6*1440,0))</f>
        <v>66672930</v>
      </c>
      <c r="Y7" s="102">
        <f>IF(Y6="","",TTDate*1440+ROUND(Y6*1440,0))</f>
        <v>66672960</v>
      </c>
      <c r="Z7" s="102">
        <f>IF(Z6="","",TTDate*1440+ROUND(Z6*1440,0))</f>
        <v>66672990</v>
      </c>
      <c r="AA7" s="102">
        <f>IF(AA6="","",TTDate*1440+ROUND(AA6*1440,0))</f>
        <v>66673020</v>
      </c>
      <c r="AB7" s="102">
        <f>IF(AB6="","",TTDate*1440+ROUND(AB6*1440,0))</f>
        <v>66673050</v>
      </c>
      <c r="AC7" s="102">
        <f>IF(AC6="","",TTDate*1440+ROUND(AC6*1440,0))</f>
        <v>66673080</v>
      </c>
      <c r="AD7" s="102">
        <f>IF(AD6="","",TTDate*1440+ROUND(AD6*1440,0))</f>
        <v>66673110</v>
      </c>
    </row>
    <row r="8" ht="20" customHeight="1">
      <c r="A8" s="87" t="str">
        <f>IF($AF8="",IF(COUNTIF(tblSteps[時間割対象],1)=0,IF(COUNTIF(tblSteps[工程ID],"?*")=0,"工程未登録：03_工程入力に登録すると表示されます","この日に作業予定の工程はありません（担当・案件・表示日を確認）"),""),INDEX(tblSteps[工程ID],$AF8)&amp;"")</f>
        <v>S0018</v>
      </c>
      <c r="B8" s="88" t="str">
        <f>IF($AF8="","",$AL8&amp;" "&amp;INDEX(tblSteps[案件名],$AF8))</f>
        <v>A0022 制御盤更新工事</v>
      </c>
      <c r="C8" s="88" t="str">
        <f>IF($AF8="","",INDEX(tblSteps[工程名],$AF8)&amp;"")</f>
        <v>現地打合せ</v>
      </c>
      <c r="D8" s="89" t="str">
        <f>IF($AF8="","",$AJ8&amp;"")</f>
        <v>田中</v>
      </c>
      <c r="E8" s="103">
        <f>IF($AF8="","",IF($AI8=1,$AG8/1440,INDEX(tblSteps[計画開始日],$AF8)))</f>
        <v>46300.416666666664</v>
      </c>
      <c r="F8" s="103">
        <f>IF($AF8="","",IF($AI8=1,$AH8/1440,INDEX(tblSteps[計画終了日],$AF8)))</f>
        <v>46300.458333333336</v>
      </c>
      <c r="G8" s="89" t="str">
        <f>IF($AF8="","",INDEX(tblSteps[状態],$AF8)&amp;"")</f>
        <v>未着手</v>
      </c>
      <c r="H8" s="92" t="str">
        <f>IF($AF8="","",_xlfn.TEXTJOIN("／",TRUE,IF($AI8=0,"終了日時が開始日時以前",""),IF(AND($AI8=1,OR($AH8&lt;=TTDate*1440+ROUND(TTStart*1440,0),$AG8&gt;=TTDate*1440+ROUND(TTEnd*1440,0))),"表示時間外",""),IF(AND($AI8=1,$AG8&lt;TTDate*1440),"前日から継続",""),IF(AND($AI8=1,$AH8&gt;TTDate*1440+1440),"翌日へ継続",""),IF(INDEX(tblSteps[重複数],$AF8)&gt;0,"予定重複の可能性","")))</f>
        <v/>
      </c>
      <c r="I8" s="93" t="str">
        <f>IF(OR($AF8="",I$7=""),"",IF(AND($AI8=1,$AG8&lt;I$7+TTStep,$AH8&gt;I$7),IF(COUNTIFS(tblSteps[担当],$AJ8,tblSteps[重複対象],1,tblSteps[開始分],"&lt;"&amp;(I$7+TTStep),tblSteps[終了分],"&gt;"&amp;I$7)-$AK8&gt;0,"重","■"),""))</f>
        <v/>
      </c>
      <c r="J8" s="93" t="str">
        <f>IF(OR($AF8="",J$7=""),"",IF(AND($AI8=1,$AG8&lt;J$7+TTStep,$AH8&gt;J$7),IF(COUNTIFS(tblSteps[担当],$AJ8,tblSteps[重複対象],1,tblSteps[開始分],"&lt;"&amp;(J$7+TTStep),tblSteps[終了分],"&gt;"&amp;J$7)-$AK8&gt;0,"重","■"),""))</f>
        <v/>
      </c>
      <c r="K8" s="93" t="str">
        <f>IF(OR($AF8="",K$7=""),"",IF(AND($AI8=1,$AG8&lt;K$7+TTStep,$AH8&gt;K$7),IF(COUNTIFS(tblSteps[担当],$AJ8,tblSteps[重複対象],1,tblSteps[開始分],"&lt;"&amp;(K$7+TTStep),tblSteps[終了分],"&gt;"&amp;K$7)-$AK8&gt;0,"重","■"),""))</f>
        <v/>
      </c>
      <c r="L8" s="93" t="str">
        <f>IF(OR($AF8="",L$7=""),"",IF(AND($AI8=1,$AG8&lt;L$7+TTStep,$AH8&gt;L$7),IF(COUNTIFS(tblSteps[担当],$AJ8,tblSteps[重複対象],1,tblSteps[開始分],"&lt;"&amp;(L$7+TTStep),tblSteps[終了分],"&gt;"&amp;L$7)-$AK8&gt;0,"重","■"),""))</f>
        <v/>
      </c>
      <c r="M8" s="93" t="str">
        <f>IF(OR($AF8="",M$7=""),"",IF(AND($AI8=1,$AG8&lt;M$7+TTStep,$AH8&gt;M$7),IF(COUNTIFS(tblSteps[担当],$AJ8,tblSteps[重複対象],1,tblSteps[開始分],"&lt;"&amp;(M$7+TTStep),tblSteps[終了分],"&gt;"&amp;M$7)-$AK8&gt;0,"重","■"),""))</f>
        <v>■</v>
      </c>
      <c r="N8" s="93" t="str">
        <f>IF(OR($AF8="",N$7=""),"",IF(AND($AI8=1,$AG8&lt;N$7+TTStep,$AH8&gt;N$7),IF(COUNTIFS(tblSteps[担当],$AJ8,tblSteps[重複対象],1,tblSteps[開始分],"&lt;"&amp;(N$7+TTStep),tblSteps[終了分],"&gt;"&amp;N$7)-$AK8&gt;0,"重","■"),""))</f>
        <v>■</v>
      </c>
      <c r="O8" s="93" t="str">
        <f>IF(OR($AF8="",O$7=""),"",IF(AND($AI8=1,$AG8&lt;O$7+TTStep,$AH8&gt;O$7),IF(COUNTIFS(tblSteps[担当],$AJ8,tblSteps[重複対象],1,tblSteps[開始分],"&lt;"&amp;(O$7+TTStep),tblSteps[終了分],"&gt;"&amp;O$7)-$AK8&gt;0,"重","■"),""))</f>
        <v/>
      </c>
      <c r="P8" s="93" t="str">
        <f>IF(OR($AF8="",P$7=""),"",IF(AND($AI8=1,$AG8&lt;P$7+TTStep,$AH8&gt;P$7),IF(COUNTIFS(tblSteps[担当],$AJ8,tblSteps[重複対象],1,tblSteps[開始分],"&lt;"&amp;(P$7+TTStep),tblSteps[終了分],"&gt;"&amp;P$7)-$AK8&gt;0,"重","■"),""))</f>
        <v/>
      </c>
      <c r="Q8" s="93" t="str">
        <f>IF(OR($AF8="",Q$7=""),"",IF(AND($AI8=1,$AG8&lt;Q$7+TTStep,$AH8&gt;Q$7),IF(COUNTIFS(tblSteps[担当],$AJ8,tblSteps[重複対象],1,tblSteps[開始分],"&lt;"&amp;(Q$7+TTStep),tblSteps[終了分],"&gt;"&amp;Q$7)-$AK8&gt;0,"重","■"),""))</f>
        <v/>
      </c>
      <c r="R8" s="93" t="str">
        <f>IF(OR($AF8="",R$7=""),"",IF(AND($AI8=1,$AG8&lt;R$7+TTStep,$AH8&gt;R$7),IF(COUNTIFS(tblSteps[担当],$AJ8,tblSteps[重複対象],1,tblSteps[開始分],"&lt;"&amp;(R$7+TTStep),tblSteps[終了分],"&gt;"&amp;R$7)-$AK8&gt;0,"重","■"),""))</f>
        <v/>
      </c>
      <c r="S8" s="93" t="str">
        <f>IF(OR($AF8="",S$7=""),"",IF(AND($AI8=1,$AG8&lt;S$7+TTStep,$AH8&gt;S$7),IF(COUNTIFS(tblSteps[担当],$AJ8,tblSteps[重複対象],1,tblSteps[開始分],"&lt;"&amp;(S$7+TTStep),tblSteps[終了分],"&gt;"&amp;S$7)-$AK8&gt;0,"重","■"),""))</f>
        <v/>
      </c>
      <c r="T8" s="93" t="str">
        <f>IF(OR($AF8="",T$7=""),"",IF(AND($AI8=1,$AG8&lt;T$7+TTStep,$AH8&gt;T$7),IF(COUNTIFS(tblSteps[担当],$AJ8,tblSteps[重複対象],1,tblSteps[開始分],"&lt;"&amp;(T$7+TTStep),tblSteps[終了分],"&gt;"&amp;T$7)-$AK8&gt;0,"重","■"),""))</f>
        <v/>
      </c>
      <c r="U8" s="93" t="str">
        <f>IF(OR($AF8="",U$7=""),"",IF(AND($AI8=1,$AG8&lt;U$7+TTStep,$AH8&gt;U$7),IF(COUNTIFS(tblSteps[担当],$AJ8,tblSteps[重複対象],1,tblSteps[開始分],"&lt;"&amp;(U$7+TTStep),tblSteps[終了分],"&gt;"&amp;U$7)-$AK8&gt;0,"重","■"),""))</f>
        <v/>
      </c>
      <c r="V8" s="93" t="str">
        <f>IF(OR($AF8="",V$7=""),"",IF(AND($AI8=1,$AG8&lt;V$7+TTStep,$AH8&gt;V$7),IF(COUNTIFS(tblSteps[担当],$AJ8,tblSteps[重複対象],1,tblSteps[開始分],"&lt;"&amp;(V$7+TTStep),tblSteps[終了分],"&gt;"&amp;V$7)-$AK8&gt;0,"重","■"),""))</f>
        <v/>
      </c>
      <c r="W8" s="93" t="str">
        <f>IF(OR($AF8="",W$7=""),"",IF(AND($AI8=1,$AG8&lt;W$7+TTStep,$AH8&gt;W$7),IF(COUNTIFS(tblSteps[担当],$AJ8,tblSteps[重複対象],1,tblSteps[開始分],"&lt;"&amp;(W$7+TTStep),tblSteps[終了分],"&gt;"&amp;W$7)-$AK8&gt;0,"重","■"),""))</f>
        <v/>
      </c>
      <c r="X8" s="93" t="str">
        <f>IF(OR($AF8="",X$7=""),"",IF(AND($AI8=1,$AG8&lt;X$7+TTStep,$AH8&gt;X$7),IF(COUNTIFS(tblSteps[担当],$AJ8,tblSteps[重複対象],1,tblSteps[開始分],"&lt;"&amp;(X$7+TTStep),tblSteps[終了分],"&gt;"&amp;X$7)-$AK8&gt;0,"重","■"),""))</f>
        <v/>
      </c>
      <c r="Y8" s="93" t="str">
        <f>IF(OR($AF8="",Y$7=""),"",IF(AND($AI8=1,$AG8&lt;Y$7+TTStep,$AH8&gt;Y$7),IF(COUNTIFS(tblSteps[担当],$AJ8,tblSteps[重複対象],1,tblSteps[開始分],"&lt;"&amp;(Y$7+TTStep),tblSteps[終了分],"&gt;"&amp;Y$7)-$AK8&gt;0,"重","■"),""))</f>
        <v/>
      </c>
      <c r="Z8" s="93" t="str">
        <f>IF(OR($AF8="",Z$7=""),"",IF(AND($AI8=1,$AG8&lt;Z$7+TTStep,$AH8&gt;Z$7),IF(COUNTIFS(tblSteps[担当],$AJ8,tblSteps[重複対象],1,tblSteps[開始分],"&lt;"&amp;(Z$7+TTStep),tblSteps[終了分],"&gt;"&amp;Z$7)-$AK8&gt;0,"重","■"),""))</f>
        <v/>
      </c>
      <c r="AA8" s="93" t="str">
        <f>IF(OR($AF8="",AA$7=""),"",IF(AND($AI8=1,$AG8&lt;AA$7+TTStep,$AH8&gt;AA$7),IF(COUNTIFS(tblSteps[担当],$AJ8,tblSteps[重複対象],1,tblSteps[開始分],"&lt;"&amp;(AA$7+TTStep),tblSteps[終了分],"&gt;"&amp;AA$7)-$AK8&gt;0,"重","■"),""))</f>
        <v/>
      </c>
      <c r="AB8" s="93" t="str">
        <f>IF(OR($AF8="",AB$7=""),"",IF(AND($AI8=1,$AG8&lt;AB$7+TTStep,$AH8&gt;AB$7),IF(COUNTIFS(tblSteps[担当],$AJ8,tblSteps[重複対象],1,tblSteps[開始分],"&lt;"&amp;(AB$7+TTStep),tblSteps[終了分],"&gt;"&amp;AB$7)-$AK8&gt;0,"重","■"),""))</f>
        <v/>
      </c>
      <c r="AC8" s="93" t="str">
        <f>IF(OR($AF8="",AC$7=""),"",IF(AND($AI8=1,$AG8&lt;AC$7+TTStep,$AH8&gt;AC$7),IF(COUNTIFS(tblSteps[担当],$AJ8,tblSteps[重複対象],1,tblSteps[開始分],"&lt;"&amp;(AC$7+TTStep),tblSteps[終了分],"&gt;"&amp;AC$7)-$AK8&gt;0,"重","■"),""))</f>
        <v/>
      </c>
      <c r="AD8" s="93" t="str">
        <f>IF(OR($AF8="",AD$7=""),"",IF(AND($AI8=1,$AG8&lt;AD$7+TTStep,$AH8&gt;AD$7),IF(COUNTIFS(tblSteps[担当],$AJ8,tblSteps[重複対象],1,tblSteps[開始分],"&lt;"&amp;(AD$7+TTStep),tblSteps[終了分],"&gt;"&amp;AD$7)-$AK8&gt;0,"重","■"),""))</f>
        <v/>
      </c>
      <c r="AF8">
        <f>IF(1&gt;COUNTIF(tblSteps[時間割対象],1),"",IFERROR(MATCH(1,tblSteps[時間割順位],0),""))</f>
        <v>18</v>
      </c>
      <c r="AG8">
        <f>IF($AF8="","",INDEX(tblSteps[開始分],$AF8))</f>
        <v>66672600</v>
      </c>
      <c r="AH8">
        <f>IF($AF8="","",INDEX(tblSteps[終了分],$AF8))</f>
        <v>66672660</v>
      </c>
      <c r="AI8">
        <f>IF($AF8="","",INDEX(tblSteps[時刻OK],$AF8))</f>
        <v>1</v>
      </c>
      <c r="AJ8" t="str">
        <f>IF($AF8="","",INDEX(tblSteps[担当],$AF8))</f>
        <v>田中</v>
      </c>
      <c r="AK8">
        <f>IF($AF8="","",INDEX(tblSteps[重複対象],$AF8))</f>
        <v>1</v>
      </c>
      <c r="AL8" t="str">
        <f>IF($AF8="","",INDEX(tblSteps[案件ID],$AF8))</f>
        <v>A0022</v>
      </c>
    </row>
    <row r="9" ht="20" customHeight="1">
      <c r="A9" s="89" t="str">
        <f>IF($AF9="","",INDEX(tblSteps[工程ID],$AF9)&amp;"")</f>
        <v>S0025</v>
      </c>
      <c r="B9" s="88" t="str">
        <f>IF($AF9="","",$AL9&amp;" "&amp;INDEX(tblSteps[案件名],$AF9))</f>
        <v>A0022 制御盤更新工事</v>
      </c>
      <c r="C9" s="88" t="str">
        <f>IF($AF9="","",INDEX(tblSteps[工程名],$AF9)&amp;"")</f>
        <v>安全教育</v>
      </c>
      <c r="D9" s="89" t="str">
        <f>IF($AF9="","",$AJ9&amp;"")</f>
        <v>田中</v>
      </c>
      <c r="E9" s="103">
        <f>IF($AF9="","",IF($AI9=1,$AG9/1440,INDEX(tblSteps[計画開始日],$AF9)))</f>
        <v>46300.458333333336</v>
      </c>
      <c r="F9" s="103">
        <f>IF($AF9="","",IF($AI9=1,$AH9/1440,INDEX(tblSteps[計画終了日],$AF9)))</f>
        <v>46300.5</v>
      </c>
      <c r="G9" s="89" t="str">
        <f>IF($AF9="","",INDEX(tblSteps[状態],$AF9)&amp;"")</f>
        <v>未着手</v>
      </c>
      <c r="H9" s="92" t="str">
        <f>IF($AF9="","",_xlfn.TEXTJOIN("／",TRUE,IF($AI9=0,"終了日時が開始日時以前",""),IF(AND($AI9=1,OR($AH9&lt;=TTDate*1440+ROUND(TTStart*1440,0),$AG9&gt;=TTDate*1440+ROUND(TTEnd*1440,0))),"表示時間外",""),IF(AND($AI9=1,$AG9&lt;TTDate*1440),"前日から継続",""),IF(AND($AI9=1,$AH9&gt;TTDate*1440+1440),"翌日へ継続",""),IF(INDEX(tblSteps[重複数],$AF9)&gt;0,"予定重複の可能性","")))</f>
        <v/>
      </c>
      <c r="I9" s="93" t="str">
        <f>IF(OR($AF9="",I$7=""),"",IF(AND($AI9=1,$AG9&lt;I$7+TTStep,$AH9&gt;I$7),IF(COUNTIFS(tblSteps[担当],$AJ9,tblSteps[重複対象],1,tblSteps[開始分],"&lt;"&amp;(I$7+TTStep),tblSteps[終了分],"&gt;"&amp;I$7)-$AK9&gt;0,"重","■"),""))</f>
        <v/>
      </c>
      <c r="J9" s="93" t="str">
        <f>IF(OR($AF9="",J$7=""),"",IF(AND($AI9=1,$AG9&lt;J$7+TTStep,$AH9&gt;J$7),IF(COUNTIFS(tblSteps[担当],$AJ9,tblSteps[重複対象],1,tblSteps[開始分],"&lt;"&amp;(J$7+TTStep),tblSteps[終了分],"&gt;"&amp;J$7)-$AK9&gt;0,"重","■"),""))</f>
        <v/>
      </c>
      <c r="K9" s="93" t="str">
        <f>IF(OR($AF9="",K$7=""),"",IF(AND($AI9=1,$AG9&lt;K$7+TTStep,$AH9&gt;K$7),IF(COUNTIFS(tblSteps[担当],$AJ9,tblSteps[重複対象],1,tblSteps[開始分],"&lt;"&amp;(K$7+TTStep),tblSteps[終了分],"&gt;"&amp;K$7)-$AK9&gt;0,"重","■"),""))</f>
        <v/>
      </c>
      <c r="L9" s="93" t="str">
        <f>IF(OR($AF9="",L$7=""),"",IF(AND($AI9=1,$AG9&lt;L$7+TTStep,$AH9&gt;L$7),IF(COUNTIFS(tblSteps[担当],$AJ9,tblSteps[重複対象],1,tblSteps[開始分],"&lt;"&amp;(L$7+TTStep),tblSteps[終了分],"&gt;"&amp;L$7)-$AK9&gt;0,"重","■"),""))</f>
        <v/>
      </c>
      <c r="M9" s="93" t="str">
        <f>IF(OR($AF9="",M$7=""),"",IF(AND($AI9=1,$AG9&lt;M$7+TTStep,$AH9&gt;M$7),IF(COUNTIFS(tblSteps[担当],$AJ9,tblSteps[重複対象],1,tblSteps[開始分],"&lt;"&amp;(M$7+TTStep),tblSteps[終了分],"&gt;"&amp;M$7)-$AK9&gt;0,"重","■"),""))</f>
        <v/>
      </c>
      <c r="N9" s="93" t="str">
        <f>IF(OR($AF9="",N$7=""),"",IF(AND($AI9=1,$AG9&lt;N$7+TTStep,$AH9&gt;N$7),IF(COUNTIFS(tblSteps[担当],$AJ9,tblSteps[重複対象],1,tblSteps[開始分],"&lt;"&amp;(N$7+TTStep),tblSteps[終了分],"&gt;"&amp;N$7)-$AK9&gt;0,"重","■"),""))</f>
        <v/>
      </c>
      <c r="O9" s="93" t="str">
        <f>IF(OR($AF9="",O$7=""),"",IF(AND($AI9=1,$AG9&lt;O$7+TTStep,$AH9&gt;O$7),IF(COUNTIFS(tblSteps[担当],$AJ9,tblSteps[重複対象],1,tblSteps[開始分],"&lt;"&amp;(O$7+TTStep),tblSteps[終了分],"&gt;"&amp;O$7)-$AK9&gt;0,"重","■"),""))</f>
        <v>■</v>
      </c>
      <c r="P9" s="93" t="str">
        <f>IF(OR($AF9="",P$7=""),"",IF(AND($AI9=1,$AG9&lt;P$7+TTStep,$AH9&gt;P$7),IF(COUNTIFS(tblSteps[担当],$AJ9,tblSteps[重複対象],1,tblSteps[開始分],"&lt;"&amp;(P$7+TTStep),tblSteps[終了分],"&gt;"&amp;P$7)-$AK9&gt;0,"重","■"),""))</f>
        <v>■</v>
      </c>
      <c r="Q9" s="93" t="str">
        <f>IF(OR($AF9="",Q$7=""),"",IF(AND($AI9=1,$AG9&lt;Q$7+TTStep,$AH9&gt;Q$7),IF(COUNTIFS(tblSteps[担当],$AJ9,tblSteps[重複対象],1,tblSteps[開始分],"&lt;"&amp;(Q$7+TTStep),tblSteps[終了分],"&gt;"&amp;Q$7)-$AK9&gt;0,"重","■"),""))</f>
        <v/>
      </c>
      <c r="R9" s="93" t="str">
        <f>IF(OR($AF9="",R$7=""),"",IF(AND($AI9=1,$AG9&lt;R$7+TTStep,$AH9&gt;R$7),IF(COUNTIFS(tblSteps[担当],$AJ9,tblSteps[重複対象],1,tblSteps[開始分],"&lt;"&amp;(R$7+TTStep),tblSteps[終了分],"&gt;"&amp;R$7)-$AK9&gt;0,"重","■"),""))</f>
        <v/>
      </c>
      <c r="S9" s="93" t="str">
        <f>IF(OR($AF9="",S$7=""),"",IF(AND($AI9=1,$AG9&lt;S$7+TTStep,$AH9&gt;S$7),IF(COUNTIFS(tblSteps[担当],$AJ9,tblSteps[重複対象],1,tblSteps[開始分],"&lt;"&amp;(S$7+TTStep),tblSteps[終了分],"&gt;"&amp;S$7)-$AK9&gt;0,"重","■"),""))</f>
        <v/>
      </c>
      <c r="T9" s="93" t="str">
        <f>IF(OR($AF9="",T$7=""),"",IF(AND($AI9=1,$AG9&lt;T$7+TTStep,$AH9&gt;T$7),IF(COUNTIFS(tblSteps[担当],$AJ9,tblSteps[重複対象],1,tblSteps[開始分],"&lt;"&amp;(T$7+TTStep),tblSteps[終了分],"&gt;"&amp;T$7)-$AK9&gt;0,"重","■"),""))</f>
        <v/>
      </c>
      <c r="U9" s="93" t="str">
        <f>IF(OR($AF9="",U$7=""),"",IF(AND($AI9=1,$AG9&lt;U$7+TTStep,$AH9&gt;U$7),IF(COUNTIFS(tblSteps[担当],$AJ9,tblSteps[重複対象],1,tblSteps[開始分],"&lt;"&amp;(U$7+TTStep),tblSteps[終了分],"&gt;"&amp;U$7)-$AK9&gt;0,"重","■"),""))</f>
        <v/>
      </c>
      <c r="V9" s="93" t="str">
        <f>IF(OR($AF9="",V$7=""),"",IF(AND($AI9=1,$AG9&lt;V$7+TTStep,$AH9&gt;V$7),IF(COUNTIFS(tblSteps[担当],$AJ9,tblSteps[重複対象],1,tblSteps[開始分],"&lt;"&amp;(V$7+TTStep),tblSteps[終了分],"&gt;"&amp;V$7)-$AK9&gt;0,"重","■"),""))</f>
        <v/>
      </c>
      <c r="W9" s="93" t="str">
        <f>IF(OR($AF9="",W$7=""),"",IF(AND($AI9=1,$AG9&lt;W$7+TTStep,$AH9&gt;W$7),IF(COUNTIFS(tblSteps[担当],$AJ9,tblSteps[重複対象],1,tblSteps[開始分],"&lt;"&amp;(W$7+TTStep),tblSteps[終了分],"&gt;"&amp;W$7)-$AK9&gt;0,"重","■"),""))</f>
        <v/>
      </c>
      <c r="X9" s="93" t="str">
        <f>IF(OR($AF9="",X$7=""),"",IF(AND($AI9=1,$AG9&lt;X$7+TTStep,$AH9&gt;X$7),IF(COUNTIFS(tblSteps[担当],$AJ9,tblSteps[重複対象],1,tblSteps[開始分],"&lt;"&amp;(X$7+TTStep),tblSteps[終了分],"&gt;"&amp;X$7)-$AK9&gt;0,"重","■"),""))</f>
        <v/>
      </c>
      <c r="Y9" s="93" t="str">
        <f>IF(OR($AF9="",Y$7=""),"",IF(AND($AI9=1,$AG9&lt;Y$7+TTStep,$AH9&gt;Y$7),IF(COUNTIFS(tblSteps[担当],$AJ9,tblSteps[重複対象],1,tblSteps[開始分],"&lt;"&amp;(Y$7+TTStep),tblSteps[終了分],"&gt;"&amp;Y$7)-$AK9&gt;0,"重","■"),""))</f>
        <v/>
      </c>
      <c r="Z9" s="93" t="str">
        <f>IF(OR($AF9="",Z$7=""),"",IF(AND($AI9=1,$AG9&lt;Z$7+TTStep,$AH9&gt;Z$7),IF(COUNTIFS(tblSteps[担当],$AJ9,tblSteps[重複対象],1,tblSteps[開始分],"&lt;"&amp;(Z$7+TTStep),tblSteps[終了分],"&gt;"&amp;Z$7)-$AK9&gt;0,"重","■"),""))</f>
        <v/>
      </c>
      <c r="AA9" s="93" t="str">
        <f>IF(OR($AF9="",AA$7=""),"",IF(AND($AI9=1,$AG9&lt;AA$7+TTStep,$AH9&gt;AA$7),IF(COUNTIFS(tblSteps[担当],$AJ9,tblSteps[重複対象],1,tblSteps[開始分],"&lt;"&amp;(AA$7+TTStep),tblSteps[終了分],"&gt;"&amp;AA$7)-$AK9&gt;0,"重","■"),""))</f>
        <v/>
      </c>
      <c r="AB9" s="93" t="str">
        <f>IF(OR($AF9="",AB$7=""),"",IF(AND($AI9=1,$AG9&lt;AB$7+TTStep,$AH9&gt;AB$7),IF(COUNTIFS(tblSteps[担当],$AJ9,tblSteps[重複対象],1,tblSteps[開始分],"&lt;"&amp;(AB$7+TTStep),tblSteps[終了分],"&gt;"&amp;AB$7)-$AK9&gt;0,"重","■"),""))</f>
        <v/>
      </c>
      <c r="AC9" s="93" t="str">
        <f>IF(OR($AF9="",AC$7=""),"",IF(AND($AI9=1,$AG9&lt;AC$7+TTStep,$AH9&gt;AC$7),IF(COUNTIFS(tblSteps[担当],$AJ9,tblSteps[重複対象],1,tblSteps[開始分],"&lt;"&amp;(AC$7+TTStep),tblSteps[終了分],"&gt;"&amp;AC$7)-$AK9&gt;0,"重","■"),""))</f>
        <v/>
      </c>
      <c r="AD9" s="93" t="str">
        <f>IF(OR($AF9="",AD$7=""),"",IF(AND($AI9=1,$AG9&lt;AD$7+TTStep,$AH9&gt;AD$7),IF(COUNTIFS(tblSteps[担当],$AJ9,tblSteps[重複対象],1,tblSteps[開始分],"&lt;"&amp;(AD$7+TTStep),tblSteps[終了分],"&gt;"&amp;AD$7)-$AK9&gt;0,"重","■"),""))</f>
        <v/>
      </c>
      <c r="AF9">
        <f>IF(2&gt;COUNTIF(tblSteps[時間割対象],1),"",IFERROR(MATCH(2,tblSteps[時間割順位],0),""))</f>
        <v>25</v>
      </c>
      <c r="AG9">
        <f>IF($AF9="","",INDEX(tblSteps[開始分],$AF9))</f>
        <v>66672660</v>
      </c>
      <c r="AH9">
        <f>IF($AF9="","",INDEX(tblSteps[終了分],$AF9))</f>
        <v>66672720</v>
      </c>
      <c r="AI9">
        <f>IF($AF9="","",INDEX(tblSteps[時刻OK],$AF9))</f>
        <v>1</v>
      </c>
      <c r="AJ9" t="str">
        <f>IF($AF9="","",INDEX(tblSteps[担当],$AF9))</f>
        <v>田中</v>
      </c>
      <c r="AK9">
        <f>IF($AF9="","",INDEX(tblSteps[重複対象],$AF9))</f>
        <v>1</v>
      </c>
      <c r="AL9" t="str">
        <f>IF($AF9="","",INDEX(tblSteps[案件ID],$AF9))</f>
        <v>A0022</v>
      </c>
    </row>
    <row r="10" ht="20" customHeight="1">
      <c r="A10" s="89" t="str">
        <f>IF($AF10="","",INDEX(tblSteps[工程ID],$AF10)&amp;"")</f>
        <v>S0027</v>
      </c>
      <c r="B10" s="88" t="str">
        <f>IF($AF10="","",$AL10&amp;" "&amp;INDEX(tblSteps[案件名],$AF10))</f>
        <v>A0008 工作機械の搬入・据付</v>
      </c>
      <c r="C10" s="88" t="str">
        <f>IF($AF10="","",INDEX(tblSteps[工程名],$AF10)&amp;"")</f>
        <v>基礎の出来形確認</v>
      </c>
      <c r="D10" s="89" t="str">
        <f>IF($AF10="","",$AJ10&amp;"")</f>
        <v>田中</v>
      </c>
      <c r="E10" s="103">
        <f>IF($AF10="","",IF($AI10=1,$AG10/1440,INDEX(tblSteps[計画開始日],$AF10)))</f>
        <v>46300.625</v>
      </c>
      <c r="F10" s="103">
        <f>IF($AF10="","",IF($AI10=1,$AH10/1440,INDEX(tblSteps[計画終了日],$AF10)))</f>
        <v>46300.6875</v>
      </c>
      <c r="G10" s="89" t="str">
        <f>IF($AF10="","",INDEX(tblSteps[状態],$AF10)&amp;"")</f>
        <v>未着手</v>
      </c>
      <c r="H10" s="92" t="str">
        <f>IF($AF10="","",_xlfn.TEXTJOIN("／",TRUE,IF($AI10=0,"終了日時が開始日時以前",""),IF(AND($AI10=1,OR($AH10&lt;=TTDate*1440+ROUND(TTStart*1440,0),$AG10&gt;=TTDate*1440+ROUND(TTEnd*1440,0))),"表示時間外",""),IF(AND($AI10=1,$AG10&lt;TTDate*1440),"前日から継続",""),IF(AND($AI10=1,$AH10&gt;TTDate*1440+1440),"翌日へ継続",""),IF(INDEX(tblSteps[重複数],$AF10)&gt;0,"予定重複の可能性","")))</f>
        <v/>
      </c>
      <c r="I10" s="93" t="str">
        <f>IF(OR($AF10="",I$7=""),"",IF(AND($AI10=1,$AG10&lt;I$7+TTStep,$AH10&gt;I$7),IF(COUNTIFS(tblSteps[担当],$AJ10,tblSteps[重複対象],1,tblSteps[開始分],"&lt;"&amp;(I$7+TTStep),tblSteps[終了分],"&gt;"&amp;I$7)-$AK10&gt;0,"重","■"),""))</f>
        <v/>
      </c>
      <c r="J10" s="93" t="str">
        <f>IF(OR($AF10="",J$7=""),"",IF(AND($AI10=1,$AG10&lt;J$7+TTStep,$AH10&gt;J$7),IF(COUNTIFS(tblSteps[担当],$AJ10,tblSteps[重複対象],1,tblSteps[開始分],"&lt;"&amp;(J$7+TTStep),tblSteps[終了分],"&gt;"&amp;J$7)-$AK10&gt;0,"重","■"),""))</f>
        <v/>
      </c>
      <c r="K10" s="93" t="str">
        <f>IF(OR($AF10="",K$7=""),"",IF(AND($AI10=1,$AG10&lt;K$7+TTStep,$AH10&gt;K$7),IF(COUNTIFS(tblSteps[担当],$AJ10,tblSteps[重複対象],1,tblSteps[開始分],"&lt;"&amp;(K$7+TTStep),tblSteps[終了分],"&gt;"&amp;K$7)-$AK10&gt;0,"重","■"),""))</f>
        <v/>
      </c>
      <c r="L10" s="93" t="str">
        <f>IF(OR($AF10="",L$7=""),"",IF(AND($AI10=1,$AG10&lt;L$7+TTStep,$AH10&gt;L$7),IF(COUNTIFS(tblSteps[担当],$AJ10,tblSteps[重複対象],1,tblSteps[開始分],"&lt;"&amp;(L$7+TTStep),tblSteps[終了分],"&gt;"&amp;L$7)-$AK10&gt;0,"重","■"),""))</f>
        <v/>
      </c>
      <c r="M10" s="93" t="str">
        <f>IF(OR($AF10="",M$7=""),"",IF(AND($AI10=1,$AG10&lt;M$7+TTStep,$AH10&gt;M$7),IF(COUNTIFS(tblSteps[担当],$AJ10,tblSteps[重複対象],1,tblSteps[開始分],"&lt;"&amp;(M$7+TTStep),tblSteps[終了分],"&gt;"&amp;M$7)-$AK10&gt;0,"重","■"),""))</f>
        <v/>
      </c>
      <c r="N10" s="93" t="str">
        <f>IF(OR($AF10="",N$7=""),"",IF(AND($AI10=1,$AG10&lt;N$7+TTStep,$AH10&gt;N$7),IF(COUNTIFS(tblSteps[担当],$AJ10,tblSteps[重複対象],1,tblSteps[開始分],"&lt;"&amp;(N$7+TTStep),tblSteps[終了分],"&gt;"&amp;N$7)-$AK10&gt;0,"重","■"),""))</f>
        <v/>
      </c>
      <c r="O10" s="93" t="str">
        <f>IF(OR($AF10="",O$7=""),"",IF(AND($AI10=1,$AG10&lt;O$7+TTStep,$AH10&gt;O$7),IF(COUNTIFS(tblSteps[担当],$AJ10,tblSteps[重複対象],1,tblSteps[開始分],"&lt;"&amp;(O$7+TTStep),tblSteps[終了分],"&gt;"&amp;O$7)-$AK10&gt;0,"重","■"),""))</f>
        <v/>
      </c>
      <c r="P10" s="93" t="str">
        <f>IF(OR($AF10="",P$7=""),"",IF(AND($AI10=1,$AG10&lt;P$7+TTStep,$AH10&gt;P$7),IF(COUNTIFS(tblSteps[担当],$AJ10,tblSteps[重複対象],1,tblSteps[開始分],"&lt;"&amp;(P$7+TTStep),tblSteps[終了分],"&gt;"&amp;P$7)-$AK10&gt;0,"重","■"),""))</f>
        <v/>
      </c>
      <c r="Q10" s="93" t="str">
        <f>IF(OR($AF10="",Q$7=""),"",IF(AND($AI10=1,$AG10&lt;Q$7+TTStep,$AH10&gt;Q$7),IF(COUNTIFS(tblSteps[担当],$AJ10,tblSteps[重複対象],1,tblSteps[開始分],"&lt;"&amp;(Q$7+TTStep),tblSteps[終了分],"&gt;"&amp;Q$7)-$AK10&gt;0,"重","■"),""))</f>
        <v/>
      </c>
      <c r="R10" s="93" t="str">
        <f>IF(OR($AF10="",R$7=""),"",IF(AND($AI10=1,$AG10&lt;R$7+TTStep,$AH10&gt;R$7),IF(COUNTIFS(tblSteps[担当],$AJ10,tblSteps[重複対象],1,tblSteps[開始分],"&lt;"&amp;(R$7+TTStep),tblSteps[終了分],"&gt;"&amp;R$7)-$AK10&gt;0,"重","■"),""))</f>
        <v/>
      </c>
      <c r="S10" s="93" t="str">
        <f>IF(OR($AF10="",S$7=""),"",IF(AND($AI10=1,$AG10&lt;S$7+TTStep,$AH10&gt;S$7),IF(COUNTIFS(tblSteps[担当],$AJ10,tblSteps[重複対象],1,tblSteps[開始分],"&lt;"&amp;(S$7+TTStep),tblSteps[終了分],"&gt;"&amp;S$7)-$AK10&gt;0,"重","■"),""))</f>
        <v/>
      </c>
      <c r="T10" s="93" t="str">
        <f>IF(OR($AF10="",T$7=""),"",IF(AND($AI10=1,$AG10&lt;T$7+TTStep,$AH10&gt;T$7),IF(COUNTIFS(tblSteps[担当],$AJ10,tblSteps[重複対象],1,tblSteps[開始分],"&lt;"&amp;(T$7+TTStep),tblSteps[終了分],"&gt;"&amp;T$7)-$AK10&gt;0,"重","■"),""))</f>
        <v/>
      </c>
      <c r="U10" s="93" t="str">
        <f>IF(OR($AF10="",U$7=""),"",IF(AND($AI10=1,$AG10&lt;U$7+TTStep,$AH10&gt;U$7),IF(COUNTIFS(tblSteps[担当],$AJ10,tblSteps[重複対象],1,tblSteps[開始分],"&lt;"&amp;(U$7+TTStep),tblSteps[終了分],"&gt;"&amp;U$7)-$AK10&gt;0,"重","■"),""))</f>
        <v/>
      </c>
      <c r="V10" s="93" t="str">
        <f>IF(OR($AF10="",V$7=""),"",IF(AND($AI10=1,$AG10&lt;V$7+TTStep,$AH10&gt;V$7),IF(COUNTIFS(tblSteps[担当],$AJ10,tblSteps[重複対象],1,tblSteps[開始分],"&lt;"&amp;(V$7+TTStep),tblSteps[終了分],"&gt;"&amp;V$7)-$AK10&gt;0,"重","■"),""))</f>
        <v/>
      </c>
      <c r="W10" s="93" t="str">
        <f>IF(OR($AF10="",W$7=""),"",IF(AND($AI10=1,$AG10&lt;W$7+TTStep,$AH10&gt;W$7),IF(COUNTIFS(tblSteps[担当],$AJ10,tblSteps[重複対象],1,tblSteps[開始分],"&lt;"&amp;(W$7+TTStep),tblSteps[終了分],"&gt;"&amp;W$7)-$AK10&gt;0,"重","■"),""))</f>
        <v>■</v>
      </c>
      <c r="X10" s="93" t="str">
        <f>IF(OR($AF10="",X$7=""),"",IF(AND($AI10=1,$AG10&lt;X$7+TTStep,$AH10&gt;X$7),IF(COUNTIFS(tblSteps[担当],$AJ10,tblSteps[重複対象],1,tblSteps[開始分],"&lt;"&amp;(X$7+TTStep),tblSteps[終了分],"&gt;"&amp;X$7)-$AK10&gt;0,"重","■"),""))</f>
        <v>■</v>
      </c>
      <c r="Y10" s="93" t="str">
        <f>IF(OR($AF10="",Y$7=""),"",IF(AND($AI10=1,$AG10&lt;Y$7+TTStep,$AH10&gt;Y$7),IF(COUNTIFS(tblSteps[担当],$AJ10,tblSteps[重複対象],1,tblSteps[開始分],"&lt;"&amp;(Y$7+TTStep),tblSteps[終了分],"&gt;"&amp;Y$7)-$AK10&gt;0,"重","■"),""))</f>
        <v>■</v>
      </c>
      <c r="Z10" s="93" t="str">
        <f>IF(OR($AF10="",Z$7=""),"",IF(AND($AI10=1,$AG10&lt;Z$7+TTStep,$AH10&gt;Z$7),IF(COUNTIFS(tblSteps[担当],$AJ10,tblSteps[重複対象],1,tblSteps[開始分],"&lt;"&amp;(Z$7+TTStep),tblSteps[終了分],"&gt;"&amp;Z$7)-$AK10&gt;0,"重","■"),""))</f>
        <v/>
      </c>
      <c r="AA10" s="93" t="str">
        <f>IF(OR($AF10="",AA$7=""),"",IF(AND($AI10=1,$AG10&lt;AA$7+TTStep,$AH10&gt;AA$7),IF(COUNTIFS(tblSteps[担当],$AJ10,tblSteps[重複対象],1,tblSteps[開始分],"&lt;"&amp;(AA$7+TTStep),tblSteps[終了分],"&gt;"&amp;AA$7)-$AK10&gt;0,"重","■"),""))</f>
        <v/>
      </c>
      <c r="AB10" s="93" t="str">
        <f>IF(OR($AF10="",AB$7=""),"",IF(AND($AI10=1,$AG10&lt;AB$7+TTStep,$AH10&gt;AB$7),IF(COUNTIFS(tblSteps[担当],$AJ10,tblSteps[重複対象],1,tblSteps[開始分],"&lt;"&amp;(AB$7+TTStep),tblSteps[終了分],"&gt;"&amp;AB$7)-$AK10&gt;0,"重","■"),""))</f>
        <v/>
      </c>
      <c r="AC10" s="93" t="str">
        <f>IF(OR($AF10="",AC$7=""),"",IF(AND($AI10=1,$AG10&lt;AC$7+TTStep,$AH10&gt;AC$7),IF(COUNTIFS(tblSteps[担当],$AJ10,tblSteps[重複対象],1,tblSteps[開始分],"&lt;"&amp;(AC$7+TTStep),tblSteps[終了分],"&gt;"&amp;AC$7)-$AK10&gt;0,"重","■"),""))</f>
        <v/>
      </c>
      <c r="AD10" s="93" t="str">
        <f>IF(OR($AF10="",AD$7=""),"",IF(AND($AI10=1,$AG10&lt;AD$7+TTStep,$AH10&gt;AD$7),IF(COUNTIFS(tblSteps[担当],$AJ10,tblSteps[重複対象],1,tblSteps[開始分],"&lt;"&amp;(AD$7+TTStep),tblSteps[終了分],"&gt;"&amp;AD$7)-$AK10&gt;0,"重","■"),""))</f>
        <v/>
      </c>
      <c r="AF10">
        <f>IF(3&gt;COUNTIF(tblSteps[時間割対象],1),"",IFERROR(MATCH(3,tblSteps[時間割順位],0),""))</f>
        <v>27</v>
      </c>
      <c r="AG10">
        <f>IF($AF10="","",INDEX(tblSteps[開始分],$AF10))</f>
        <v>66672900</v>
      </c>
      <c r="AH10">
        <f>IF($AF10="","",INDEX(tblSteps[終了分],$AF10))</f>
        <v>66672990</v>
      </c>
      <c r="AI10">
        <f>IF($AF10="","",INDEX(tblSteps[時刻OK],$AF10))</f>
        <v>1</v>
      </c>
      <c r="AJ10" t="str">
        <f>IF($AF10="","",INDEX(tblSteps[担当],$AF10))</f>
        <v>田中</v>
      </c>
      <c r="AK10">
        <f>IF($AF10="","",INDEX(tblSteps[重複対象],$AF10))</f>
        <v>1</v>
      </c>
      <c r="AL10" t="str">
        <f>IF($AF10="","",INDEX(tblSteps[案件ID],$AF10))</f>
        <v>A0008</v>
      </c>
    </row>
    <row r="11" ht="20" customHeight="1">
      <c r="A11" s="89" t="str">
        <f>IF($AF11="","",INDEX(tblSteps[工程ID],$AF11)&amp;"")</f>
        <v>S0026</v>
      </c>
      <c r="B11" s="88" t="str">
        <f>IF($AF11="","",$AL11&amp;" "&amp;INDEX(tblSteps[案件名],$AF11))</f>
        <v>A0021 自動倉庫コンベヤ増設工事</v>
      </c>
      <c r="C11" s="88" t="str">
        <f>IF($AF11="","",INDEX(tblSteps[工程名],$AF11)&amp;"")</f>
        <v>施工前ミーティング</v>
      </c>
      <c r="D11" s="89" t="str">
        <f>IF($AF11="","",$AJ11&amp;"")</f>
        <v>高橋</v>
      </c>
      <c r="E11" s="103">
        <f>IF($AF11="","",IF($AI11=1,$AG11/1440,INDEX(tblSteps[計画開始日],$AF11)))</f>
        <v>46300.541666666664</v>
      </c>
      <c r="F11" s="103">
        <f>IF($AF11="","",IF($AI11=1,$AH11/1440,INDEX(tblSteps[計画終了日],$AF11)))</f>
        <v>46300.583333333336</v>
      </c>
      <c r="G11" s="89" t="str">
        <f>IF($AF11="","",INDEX(tblSteps[状態],$AF11)&amp;"")</f>
        <v>未着手</v>
      </c>
      <c r="H11" s="92" t="str">
        <f>IF($AF11="","",_xlfn.TEXTJOIN("／",TRUE,IF($AI11=0,"終了日時が開始日時以前",""),IF(AND($AI11=1,OR($AH11&lt;=TTDate*1440+ROUND(TTStart*1440,0),$AG11&gt;=TTDate*1440+ROUND(TTEnd*1440,0))),"表示時間外",""),IF(AND($AI11=1,$AG11&lt;TTDate*1440),"前日から継続",""),IF(AND($AI11=1,$AH11&gt;TTDate*1440+1440),"翌日へ継続",""),IF(INDEX(tblSteps[重複数],$AF11)&gt;0,"予定重複の可能性","")))</f>
        <v/>
      </c>
      <c r="I11" s="93" t="str">
        <f>IF(OR($AF11="",I$7=""),"",IF(AND($AI11=1,$AG11&lt;I$7+TTStep,$AH11&gt;I$7),IF(COUNTIFS(tblSteps[担当],$AJ11,tblSteps[重複対象],1,tblSteps[開始分],"&lt;"&amp;(I$7+TTStep),tblSteps[終了分],"&gt;"&amp;I$7)-$AK11&gt;0,"重","■"),""))</f>
        <v/>
      </c>
      <c r="J11" s="93" t="str">
        <f>IF(OR($AF11="",J$7=""),"",IF(AND($AI11=1,$AG11&lt;J$7+TTStep,$AH11&gt;J$7),IF(COUNTIFS(tblSteps[担当],$AJ11,tblSteps[重複対象],1,tblSteps[開始分],"&lt;"&amp;(J$7+TTStep),tblSteps[終了分],"&gt;"&amp;J$7)-$AK11&gt;0,"重","■"),""))</f>
        <v/>
      </c>
      <c r="K11" s="93" t="str">
        <f>IF(OR($AF11="",K$7=""),"",IF(AND($AI11=1,$AG11&lt;K$7+TTStep,$AH11&gt;K$7),IF(COUNTIFS(tblSteps[担当],$AJ11,tblSteps[重複対象],1,tblSteps[開始分],"&lt;"&amp;(K$7+TTStep),tblSteps[終了分],"&gt;"&amp;K$7)-$AK11&gt;0,"重","■"),""))</f>
        <v/>
      </c>
      <c r="L11" s="93" t="str">
        <f>IF(OR($AF11="",L$7=""),"",IF(AND($AI11=1,$AG11&lt;L$7+TTStep,$AH11&gt;L$7),IF(COUNTIFS(tblSteps[担当],$AJ11,tblSteps[重複対象],1,tblSteps[開始分],"&lt;"&amp;(L$7+TTStep),tblSteps[終了分],"&gt;"&amp;L$7)-$AK11&gt;0,"重","■"),""))</f>
        <v/>
      </c>
      <c r="M11" s="93" t="str">
        <f>IF(OR($AF11="",M$7=""),"",IF(AND($AI11=1,$AG11&lt;M$7+TTStep,$AH11&gt;M$7),IF(COUNTIFS(tblSteps[担当],$AJ11,tblSteps[重複対象],1,tblSteps[開始分],"&lt;"&amp;(M$7+TTStep),tblSteps[終了分],"&gt;"&amp;M$7)-$AK11&gt;0,"重","■"),""))</f>
        <v/>
      </c>
      <c r="N11" s="93" t="str">
        <f>IF(OR($AF11="",N$7=""),"",IF(AND($AI11=1,$AG11&lt;N$7+TTStep,$AH11&gt;N$7),IF(COUNTIFS(tblSteps[担当],$AJ11,tblSteps[重複対象],1,tblSteps[開始分],"&lt;"&amp;(N$7+TTStep),tblSteps[終了分],"&gt;"&amp;N$7)-$AK11&gt;0,"重","■"),""))</f>
        <v/>
      </c>
      <c r="O11" s="93" t="str">
        <f>IF(OR($AF11="",O$7=""),"",IF(AND($AI11=1,$AG11&lt;O$7+TTStep,$AH11&gt;O$7),IF(COUNTIFS(tblSteps[担当],$AJ11,tblSteps[重複対象],1,tblSteps[開始分],"&lt;"&amp;(O$7+TTStep),tblSteps[終了分],"&gt;"&amp;O$7)-$AK11&gt;0,"重","■"),""))</f>
        <v/>
      </c>
      <c r="P11" s="93" t="str">
        <f>IF(OR($AF11="",P$7=""),"",IF(AND($AI11=1,$AG11&lt;P$7+TTStep,$AH11&gt;P$7),IF(COUNTIFS(tblSteps[担当],$AJ11,tblSteps[重複対象],1,tblSteps[開始分],"&lt;"&amp;(P$7+TTStep),tblSteps[終了分],"&gt;"&amp;P$7)-$AK11&gt;0,"重","■"),""))</f>
        <v/>
      </c>
      <c r="Q11" s="93" t="str">
        <f>IF(OR($AF11="",Q$7=""),"",IF(AND($AI11=1,$AG11&lt;Q$7+TTStep,$AH11&gt;Q$7),IF(COUNTIFS(tblSteps[担当],$AJ11,tblSteps[重複対象],1,tblSteps[開始分],"&lt;"&amp;(Q$7+TTStep),tblSteps[終了分],"&gt;"&amp;Q$7)-$AK11&gt;0,"重","■"),""))</f>
        <v/>
      </c>
      <c r="R11" s="93" t="str">
        <f>IF(OR($AF11="",R$7=""),"",IF(AND($AI11=1,$AG11&lt;R$7+TTStep,$AH11&gt;R$7),IF(COUNTIFS(tblSteps[担当],$AJ11,tblSteps[重複対象],1,tblSteps[開始分],"&lt;"&amp;(R$7+TTStep),tblSteps[終了分],"&gt;"&amp;R$7)-$AK11&gt;0,"重","■"),""))</f>
        <v/>
      </c>
      <c r="S11" s="93" t="str">
        <f>IF(OR($AF11="",S$7=""),"",IF(AND($AI11=1,$AG11&lt;S$7+TTStep,$AH11&gt;S$7),IF(COUNTIFS(tblSteps[担当],$AJ11,tblSteps[重複対象],1,tblSteps[開始分],"&lt;"&amp;(S$7+TTStep),tblSteps[終了分],"&gt;"&amp;S$7)-$AK11&gt;0,"重","■"),""))</f>
        <v>■</v>
      </c>
      <c r="T11" s="93" t="str">
        <f>IF(OR($AF11="",T$7=""),"",IF(AND($AI11=1,$AG11&lt;T$7+TTStep,$AH11&gt;T$7),IF(COUNTIFS(tblSteps[担当],$AJ11,tblSteps[重複対象],1,tblSteps[開始分],"&lt;"&amp;(T$7+TTStep),tblSteps[終了分],"&gt;"&amp;T$7)-$AK11&gt;0,"重","■"),""))</f>
        <v>■</v>
      </c>
      <c r="U11" s="93" t="str">
        <f>IF(OR($AF11="",U$7=""),"",IF(AND($AI11=1,$AG11&lt;U$7+TTStep,$AH11&gt;U$7),IF(COUNTIFS(tblSteps[担当],$AJ11,tblSteps[重複対象],1,tblSteps[開始分],"&lt;"&amp;(U$7+TTStep),tblSteps[終了分],"&gt;"&amp;U$7)-$AK11&gt;0,"重","■"),""))</f>
        <v/>
      </c>
      <c r="V11" s="93" t="str">
        <f>IF(OR($AF11="",V$7=""),"",IF(AND($AI11=1,$AG11&lt;V$7+TTStep,$AH11&gt;V$7),IF(COUNTIFS(tblSteps[担当],$AJ11,tblSteps[重複対象],1,tblSteps[開始分],"&lt;"&amp;(V$7+TTStep),tblSteps[終了分],"&gt;"&amp;V$7)-$AK11&gt;0,"重","■"),""))</f>
        <v/>
      </c>
      <c r="W11" s="93" t="str">
        <f>IF(OR($AF11="",W$7=""),"",IF(AND($AI11=1,$AG11&lt;W$7+TTStep,$AH11&gt;W$7),IF(COUNTIFS(tblSteps[担当],$AJ11,tblSteps[重複対象],1,tblSteps[開始分],"&lt;"&amp;(W$7+TTStep),tblSteps[終了分],"&gt;"&amp;W$7)-$AK11&gt;0,"重","■"),""))</f>
        <v/>
      </c>
      <c r="X11" s="93" t="str">
        <f>IF(OR($AF11="",X$7=""),"",IF(AND($AI11=1,$AG11&lt;X$7+TTStep,$AH11&gt;X$7),IF(COUNTIFS(tblSteps[担当],$AJ11,tblSteps[重複対象],1,tblSteps[開始分],"&lt;"&amp;(X$7+TTStep),tblSteps[終了分],"&gt;"&amp;X$7)-$AK11&gt;0,"重","■"),""))</f>
        <v/>
      </c>
      <c r="Y11" s="93" t="str">
        <f>IF(OR($AF11="",Y$7=""),"",IF(AND($AI11=1,$AG11&lt;Y$7+TTStep,$AH11&gt;Y$7),IF(COUNTIFS(tblSteps[担当],$AJ11,tblSteps[重複対象],1,tblSteps[開始分],"&lt;"&amp;(Y$7+TTStep),tblSteps[終了分],"&gt;"&amp;Y$7)-$AK11&gt;0,"重","■"),""))</f>
        <v/>
      </c>
      <c r="Z11" s="93" t="str">
        <f>IF(OR($AF11="",Z$7=""),"",IF(AND($AI11=1,$AG11&lt;Z$7+TTStep,$AH11&gt;Z$7),IF(COUNTIFS(tblSteps[担当],$AJ11,tblSteps[重複対象],1,tblSteps[開始分],"&lt;"&amp;(Z$7+TTStep),tblSteps[終了分],"&gt;"&amp;Z$7)-$AK11&gt;0,"重","■"),""))</f>
        <v/>
      </c>
      <c r="AA11" s="93" t="str">
        <f>IF(OR($AF11="",AA$7=""),"",IF(AND($AI11=1,$AG11&lt;AA$7+TTStep,$AH11&gt;AA$7),IF(COUNTIFS(tblSteps[担当],$AJ11,tblSteps[重複対象],1,tblSteps[開始分],"&lt;"&amp;(AA$7+TTStep),tblSteps[終了分],"&gt;"&amp;AA$7)-$AK11&gt;0,"重","■"),""))</f>
        <v/>
      </c>
      <c r="AB11" s="93" t="str">
        <f>IF(OR($AF11="",AB$7=""),"",IF(AND($AI11=1,$AG11&lt;AB$7+TTStep,$AH11&gt;AB$7),IF(COUNTIFS(tblSteps[担当],$AJ11,tblSteps[重複対象],1,tblSteps[開始分],"&lt;"&amp;(AB$7+TTStep),tblSteps[終了分],"&gt;"&amp;AB$7)-$AK11&gt;0,"重","■"),""))</f>
        <v/>
      </c>
      <c r="AC11" s="93" t="str">
        <f>IF(OR($AF11="",AC$7=""),"",IF(AND($AI11=1,$AG11&lt;AC$7+TTStep,$AH11&gt;AC$7),IF(COUNTIFS(tblSteps[担当],$AJ11,tblSteps[重複対象],1,tblSteps[開始分],"&lt;"&amp;(AC$7+TTStep),tblSteps[終了分],"&gt;"&amp;AC$7)-$AK11&gt;0,"重","■"),""))</f>
        <v/>
      </c>
      <c r="AD11" s="93" t="str">
        <f>IF(OR($AF11="",AD$7=""),"",IF(AND($AI11=1,$AG11&lt;AD$7+TTStep,$AH11&gt;AD$7),IF(COUNTIFS(tblSteps[担当],$AJ11,tblSteps[重複対象],1,tblSteps[開始分],"&lt;"&amp;(AD$7+TTStep),tblSteps[終了分],"&gt;"&amp;AD$7)-$AK11&gt;0,"重","■"),""))</f>
        <v/>
      </c>
      <c r="AF11">
        <f>IF(4&gt;COUNTIF(tblSteps[時間割対象],1),"",IFERROR(MATCH(4,tblSteps[時間割順位],0),""))</f>
        <v>26</v>
      </c>
      <c r="AG11">
        <f>IF($AF11="","",INDEX(tblSteps[開始分],$AF11))</f>
        <v>66672780</v>
      </c>
      <c r="AH11">
        <f>IF($AF11="","",INDEX(tblSteps[終了分],$AF11))</f>
        <v>66672840</v>
      </c>
      <c r="AI11">
        <f>IF($AF11="","",INDEX(tblSteps[時刻OK],$AF11))</f>
        <v>1</v>
      </c>
      <c r="AJ11" t="str">
        <f>IF($AF11="","",INDEX(tblSteps[担当],$AF11))</f>
        <v>高橋</v>
      </c>
      <c r="AK11">
        <f>IF($AF11="","",INDEX(tblSteps[重複対象],$AF11))</f>
        <v>1</v>
      </c>
      <c r="AL11" t="str">
        <f>IF($AF11="","",INDEX(tblSteps[案件ID],$AF11))</f>
        <v>A0021</v>
      </c>
    </row>
    <row r="12" ht="20" customHeight="1">
      <c r="A12" s="89" t="str">
        <f>IF($AF12="","",INDEX(tblSteps[工程ID],$AF12)&amp;"")</f>
        <v>S0012</v>
      </c>
      <c r="B12" s="88" t="str">
        <f>IF($AF12="","",$AL12&amp;" "&amp;INDEX(tblSteps[案件名],$AF12))</f>
        <v>A0021 自動倉庫コンベヤ増設工事</v>
      </c>
      <c r="C12" s="88" t="str">
        <f>IF($AF12="","",INDEX(tblSteps[工程名],$AF12)&amp;"")</f>
        <v>既設撤去の立会い（夜間）</v>
      </c>
      <c r="D12" s="89" t="str">
        <f>IF($AF12="","",$AJ12&amp;"")</f>
        <v>高橋</v>
      </c>
      <c r="E12" s="103">
        <f>IF($AF12="","",IF($AI12=1,$AG12/1440,INDEX(tblSteps[計画開始日],$AF12)))</f>
        <v>46300.75</v>
      </c>
      <c r="F12" s="103">
        <f>IF($AF12="","",IF($AI12=1,$AH12/1440,INDEX(tblSteps[計画終了日],$AF12)))</f>
        <v>46301.25</v>
      </c>
      <c r="G12" s="89" t="str">
        <f>IF($AF12="","",INDEX(tblSteps[状態],$AF12)&amp;"")</f>
        <v>未着手</v>
      </c>
      <c r="H12" s="92" t="str">
        <f>IF($AF12="","",_xlfn.TEXTJOIN("／",TRUE,IF($AI12=0,"終了日時が開始日時以前",""),IF(AND($AI12=1,OR($AH12&lt;=TTDate*1440+ROUND(TTStart*1440,0),$AG12&gt;=TTDate*1440+ROUND(TTEnd*1440,0))),"表示時間外",""),IF(AND($AI12=1,$AG12&lt;TTDate*1440),"前日から継続",""),IF(AND($AI12=1,$AH12&gt;TTDate*1440+1440),"翌日へ継続",""),IF(INDEX(tblSteps[重複数],$AF12)&gt;0,"予定重複の可能性","")))</f>
        <v>翌日へ継続</v>
      </c>
      <c r="I12" s="93" t="str">
        <f>IF(OR($AF12="",I$7=""),"",IF(AND($AI12=1,$AG12&lt;I$7+TTStep,$AH12&gt;I$7),IF(COUNTIFS(tblSteps[担当],$AJ12,tblSteps[重複対象],1,tblSteps[開始分],"&lt;"&amp;(I$7+TTStep),tblSteps[終了分],"&gt;"&amp;I$7)-$AK12&gt;0,"重","■"),""))</f>
        <v/>
      </c>
      <c r="J12" s="93" t="str">
        <f>IF(OR($AF12="",J$7=""),"",IF(AND($AI12=1,$AG12&lt;J$7+TTStep,$AH12&gt;J$7),IF(COUNTIFS(tblSteps[担当],$AJ12,tblSteps[重複対象],1,tblSteps[開始分],"&lt;"&amp;(J$7+TTStep),tblSteps[終了分],"&gt;"&amp;J$7)-$AK12&gt;0,"重","■"),""))</f>
        <v/>
      </c>
      <c r="K12" s="93" t="str">
        <f>IF(OR($AF12="",K$7=""),"",IF(AND($AI12=1,$AG12&lt;K$7+TTStep,$AH12&gt;K$7),IF(COUNTIFS(tblSteps[担当],$AJ12,tblSteps[重複対象],1,tblSteps[開始分],"&lt;"&amp;(K$7+TTStep),tblSteps[終了分],"&gt;"&amp;K$7)-$AK12&gt;0,"重","■"),""))</f>
        <v/>
      </c>
      <c r="L12" s="93" t="str">
        <f>IF(OR($AF12="",L$7=""),"",IF(AND($AI12=1,$AG12&lt;L$7+TTStep,$AH12&gt;L$7),IF(COUNTIFS(tblSteps[担当],$AJ12,tblSteps[重複対象],1,tblSteps[開始分],"&lt;"&amp;(L$7+TTStep),tblSteps[終了分],"&gt;"&amp;L$7)-$AK12&gt;0,"重","■"),""))</f>
        <v/>
      </c>
      <c r="M12" s="93" t="str">
        <f>IF(OR($AF12="",M$7=""),"",IF(AND($AI12=1,$AG12&lt;M$7+TTStep,$AH12&gt;M$7),IF(COUNTIFS(tblSteps[担当],$AJ12,tblSteps[重複対象],1,tblSteps[開始分],"&lt;"&amp;(M$7+TTStep),tblSteps[終了分],"&gt;"&amp;M$7)-$AK12&gt;0,"重","■"),""))</f>
        <v/>
      </c>
      <c r="N12" s="93" t="str">
        <f>IF(OR($AF12="",N$7=""),"",IF(AND($AI12=1,$AG12&lt;N$7+TTStep,$AH12&gt;N$7),IF(COUNTIFS(tblSteps[担当],$AJ12,tblSteps[重複対象],1,tblSteps[開始分],"&lt;"&amp;(N$7+TTStep),tblSteps[終了分],"&gt;"&amp;N$7)-$AK12&gt;0,"重","■"),""))</f>
        <v/>
      </c>
      <c r="O12" s="93" t="str">
        <f>IF(OR($AF12="",O$7=""),"",IF(AND($AI12=1,$AG12&lt;O$7+TTStep,$AH12&gt;O$7),IF(COUNTIFS(tblSteps[担当],$AJ12,tblSteps[重複対象],1,tblSteps[開始分],"&lt;"&amp;(O$7+TTStep),tblSteps[終了分],"&gt;"&amp;O$7)-$AK12&gt;0,"重","■"),""))</f>
        <v/>
      </c>
      <c r="P12" s="93" t="str">
        <f>IF(OR($AF12="",P$7=""),"",IF(AND($AI12=1,$AG12&lt;P$7+TTStep,$AH12&gt;P$7),IF(COUNTIFS(tblSteps[担当],$AJ12,tblSteps[重複対象],1,tblSteps[開始分],"&lt;"&amp;(P$7+TTStep),tblSteps[終了分],"&gt;"&amp;P$7)-$AK12&gt;0,"重","■"),""))</f>
        <v/>
      </c>
      <c r="Q12" s="93" t="str">
        <f>IF(OR($AF12="",Q$7=""),"",IF(AND($AI12=1,$AG12&lt;Q$7+TTStep,$AH12&gt;Q$7),IF(COUNTIFS(tblSteps[担当],$AJ12,tblSteps[重複対象],1,tblSteps[開始分],"&lt;"&amp;(Q$7+TTStep),tblSteps[終了分],"&gt;"&amp;Q$7)-$AK12&gt;0,"重","■"),""))</f>
        <v/>
      </c>
      <c r="R12" s="93" t="str">
        <f>IF(OR($AF12="",R$7=""),"",IF(AND($AI12=1,$AG12&lt;R$7+TTStep,$AH12&gt;R$7),IF(COUNTIFS(tblSteps[担当],$AJ12,tblSteps[重複対象],1,tblSteps[開始分],"&lt;"&amp;(R$7+TTStep),tblSteps[終了分],"&gt;"&amp;R$7)-$AK12&gt;0,"重","■"),""))</f>
        <v/>
      </c>
      <c r="S12" s="93" t="str">
        <f>IF(OR($AF12="",S$7=""),"",IF(AND($AI12=1,$AG12&lt;S$7+TTStep,$AH12&gt;S$7),IF(COUNTIFS(tblSteps[担当],$AJ12,tblSteps[重複対象],1,tblSteps[開始分],"&lt;"&amp;(S$7+TTStep),tblSteps[終了分],"&gt;"&amp;S$7)-$AK12&gt;0,"重","■"),""))</f>
        <v/>
      </c>
      <c r="T12" s="93" t="str">
        <f>IF(OR($AF12="",T$7=""),"",IF(AND($AI12=1,$AG12&lt;T$7+TTStep,$AH12&gt;T$7),IF(COUNTIFS(tblSteps[担当],$AJ12,tblSteps[重複対象],1,tblSteps[開始分],"&lt;"&amp;(T$7+TTStep),tblSteps[終了分],"&gt;"&amp;T$7)-$AK12&gt;0,"重","■"),""))</f>
        <v/>
      </c>
      <c r="U12" s="93" t="str">
        <f>IF(OR($AF12="",U$7=""),"",IF(AND($AI12=1,$AG12&lt;U$7+TTStep,$AH12&gt;U$7),IF(COUNTIFS(tblSteps[担当],$AJ12,tblSteps[重複対象],1,tblSteps[開始分],"&lt;"&amp;(U$7+TTStep),tblSteps[終了分],"&gt;"&amp;U$7)-$AK12&gt;0,"重","■"),""))</f>
        <v/>
      </c>
      <c r="V12" s="93" t="str">
        <f>IF(OR($AF12="",V$7=""),"",IF(AND($AI12=1,$AG12&lt;V$7+TTStep,$AH12&gt;V$7),IF(COUNTIFS(tblSteps[担当],$AJ12,tblSteps[重複対象],1,tblSteps[開始分],"&lt;"&amp;(V$7+TTStep),tblSteps[終了分],"&gt;"&amp;V$7)-$AK12&gt;0,"重","■"),""))</f>
        <v/>
      </c>
      <c r="W12" s="93" t="str">
        <f>IF(OR($AF12="",W$7=""),"",IF(AND($AI12=1,$AG12&lt;W$7+TTStep,$AH12&gt;W$7),IF(COUNTIFS(tblSteps[担当],$AJ12,tblSteps[重複対象],1,tblSteps[開始分],"&lt;"&amp;(W$7+TTStep),tblSteps[終了分],"&gt;"&amp;W$7)-$AK12&gt;0,"重","■"),""))</f>
        <v/>
      </c>
      <c r="X12" s="93" t="str">
        <f>IF(OR($AF12="",X$7=""),"",IF(AND($AI12=1,$AG12&lt;X$7+TTStep,$AH12&gt;X$7),IF(COUNTIFS(tblSteps[担当],$AJ12,tblSteps[重複対象],1,tblSteps[開始分],"&lt;"&amp;(X$7+TTStep),tblSteps[終了分],"&gt;"&amp;X$7)-$AK12&gt;0,"重","■"),""))</f>
        <v/>
      </c>
      <c r="Y12" s="93" t="str">
        <f>IF(OR($AF12="",Y$7=""),"",IF(AND($AI12=1,$AG12&lt;Y$7+TTStep,$AH12&gt;Y$7),IF(COUNTIFS(tblSteps[担当],$AJ12,tblSteps[重複対象],1,tblSteps[開始分],"&lt;"&amp;(Y$7+TTStep),tblSteps[終了分],"&gt;"&amp;Y$7)-$AK12&gt;0,"重","■"),""))</f>
        <v/>
      </c>
      <c r="Z12" s="93" t="str">
        <f>IF(OR($AF12="",Z$7=""),"",IF(AND($AI12=1,$AG12&lt;Z$7+TTStep,$AH12&gt;Z$7),IF(COUNTIFS(tblSteps[担当],$AJ12,tblSteps[重複対象],1,tblSteps[開始分],"&lt;"&amp;(Z$7+TTStep),tblSteps[終了分],"&gt;"&amp;Z$7)-$AK12&gt;0,"重","■"),""))</f>
        <v/>
      </c>
      <c r="AA12" s="93" t="str">
        <f>IF(OR($AF12="",AA$7=""),"",IF(AND($AI12=1,$AG12&lt;AA$7+TTStep,$AH12&gt;AA$7),IF(COUNTIFS(tblSteps[担当],$AJ12,tblSteps[重複対象],1,tblSteps[開始分],"&lt;"&amp;(AA$7+TTStep),tblSteps[終了分],"&gt;"&amp;AA$7)-$AK12&gt;0,"重","■"),""))</f>
        <v/>
      </c>
      <c r="AB12" s="93" t="str">
        <f>IF(OR($AF12="",AB$7=""),"",IF(AND($AI12=1,$AG12&lt;AB$7+TTStep,$AH12&gt;AB$7),IF(COUNTIFS(tblSteps[担当],$AJ12,tblSteps[重複対象],1,tblSteps[開始分],"&lt;"&amp;(AB$7+TTStep),tblSteps[終了分],"&gt;"&amp;AB$7)-$AK12&gt;0,"重","■"),""))</f>
        <v/>
      </c>
      <c r="AC12" s="93" t="str">
        <f>IF(OR($AF12="",AC$7=""),"",IF(AND($AI12=1,$AG12&lt;AC$7+TTStep,$AH12&gt;AC$7),IF(COUNTIFS(tblSteps[担当],$AJ12,tblSteps[重複対象],1,tblSteps[開始分],"&lt;"&amp;(AC$7+TTStep),tblSteps[終了分],"&gt;"&amp;AC$7)-$AK12&gt;0,"重","■"),""))</f>
        <v>■</v>
      </c>
      <c r="AD12" s="93" t="str">
        <f>IF(OR($AF12="",AD$7=""),"",IF(AND($AI12=1,$AG12&lt;AD$7+TTStep,$AH12&gt;AD$7),IF(COUNTIFS(tblSteps[担当],$AJ12,tblSteps[重複対象],1,tblSteps[開始分],"&lt;"&amp;(AD$7+TTStep),tblSteps[終了分],"&gt;"&amp;AD$7)-$AK12&gt;0,"重","■"),""))</f>
        <v>■</v>
      </c>
      <c r="AF12">
        <f>IF(5&gt;COUNTIF(tblSteps[時間割対象],1),"",IFERROR(MATCH(5,tblSteps[時間割順位],0),""))</f>
        <v>12</v>
      </c>
      <c r="AG12">
        <f>IF($AF12="","",INDEX(tblSteps[開始分],$AF12))</f>
        <v>66673080</v>
      </c>
      <c r="AH12">
        <f>IF($AF12="","",INDEX(tblSteps[終了分],$AF12))</f>
        <v>66673800</v>
      </c>
      <c r="AI12">
        <f>IF($AF12="","",INDEX(tblSteps[時刻OK],$AF12))</f>
        <v>1</v>
      </c>
      <c r="AJ12" t="str">
        <f>IF($AF12="","",INDEX(tblSteps[担当],$AF12))</f>
        <v>高橋</v>
      </c>
      <c r="AK12">
        <f>IF($AF12="","",INDEX(tblSteps[重複対象],$AF12))</f>
        <v>1</v>
      </c>
      <c r="AL12" t="str">
        <f>IF($AF12="","",INDEX(tblSteps[案件ID],$AF12))</f>
        <v>A0021</v>
      </c>
    </row>
    <row r="13" ht="20" customHeight="1">
      <c r="A13" s="89" t="str">
        <f>IF($AF13="","",INDEX(tblSteps[工程ID],$AF13)&amp;"")</f>
        <v>S0008</v>
      </c>
      <c r="B13" s="88" t="str">
        <f>IF($AF13="","",$AL13&amp;" "&amp;INDEX(tblSteps[案件名],$AF13))</f>
        <v>A0020 スポット修理（搬送装置）</v>
      </c>
      <c r="C13" s="88" t="str">
        <f>IF($AF13="","",INDEX(tblSteps[工程名],$AF13)&amp;"")</f>
        <v>修理作業</v>
      </c>
      <c r="D13" s="89" t="str">
        <f>IF($AF13="","",$AJ13&amp;"")</f>
        <v>伊藤</v>
      </c>
      <c r="E13" s="103">
        <f>IF($AF13="","",IF($AI13=1,$AG13/1440,INDEX(tblSteps[計画開始日],$AF13)))</f>
        <v>46300.375</v>
      </c>
      <c r="F13" s="103">
        <f>IF($AF13="","",IF($AI13=1,$AH13/1440,INDEX(tblSteps[計画終了日],$AF13)))</f>
        <v>46300.5</v>
      </c>
      <c r="G13" s="89" t="str">
        <f>IF($AF13="","",INDEX(tblSteps[状態],$AF13)&amp;"")</f>
        <v>進行中</v>
      </c>
      <c r="H13" s="92" t="str">
        <f>IF($AF13="","",_xlfn.TEXTJOIN("／",TRUE,IF($AI13=0,"終了日時が開始日時以前",""),IF(AND($AI13=1,OR($AH13&lt;=TTDate*1440+ROUND(TTStart*1440,0),$AG13&gt;=TTDate*1440+ROUND(TTEnd*1440,0))),"表示時間外",""),IF(AND($AI13=1,$AG13&lt;TTDate*1440),"前日から継続",""),IF(AND($AI13=1,$AH13&gt;TTDate*1440+1440),"翌日へ継続",""),IF(INDEX(tblSteps[重複数],$AF13)&gt;0,"予定重複の可能性","")))</f>
        <v>予定重複の可能性</v>
      </c>
      <c r="I13" s="93" t="str">
        <f>IF(OR($AF13="",I$7=""),"",IF(AND($AI13=1,$AG13&lt;I$7+TTStep,$AH13&gt;I$7),IF(COUNTIFS(tblSteps[担当],$AJ13,tblSteps[重複対象],1,tblSteps[開始分],"&lt;"&amp;(I$7+TTStep),tblSteps[終了分],"&gt;"&amp;I$7)-$AK13&gt;0,"重","■"),""))</f>
        <v/>
      </c>
      <c r="J13" s="93" t="str">
        <f>IF(OR($AF13="",J$7=""),"",IF(AND($AI13=1,$AG13&lt;J$7+TTStep,$AH13&gt;J$7),IF(COUNTIFS(tblSteps[担当],$AJ13,tblSteps[重複対象],1,tblSteps[開始分],"&lt;"&amp;(J$7+TTStep),tblSteps[終了分],"&gt;"&amp;J$7)-$AK13&gt;0,"重","■"),""))</f>
        <v/>
      </c>
      <c r="K13" s="93" t="str">
        <f>IF(OR($AF13="",K$7=""),"",IF(AND($AI13=1,$AG13&lt;K$7+TTStep,$AH13&gt;K$7),IF(COUNTIFS(tblSteps[担当],$AJ13,tblSteps[重複対象],1,tblSteps[開始分],"&lt;"&amp;(K$7+TTStep),tblSteps[終了分],"&gt;"&amp;K$7)-$AK13&gt;0,"重","■"),""))</f>
        <v>■</v>
      </c>
      <c r="L13" s="93" t="str">
        <f>IF(OR($AF13="",L$7=""),"",IF(AND($AI13=1,$AG13&lt;L$7+TTStep,$AH13&gt;L$7),IF(COUNTIFS(tblSteps[担当],$AJ13,tblSteps[重複対象],1,tblSteps[開始分],"&lt;"&amp;(L$7+TTStep),tblSteps[終了分],"&gt;"&amp;L$7)-$AK13&gt;0,"重","■"),""))</f>
        <v>■</v>
      </c>
      <c r="M13" s="93" t="str">
        <f>IF(OR($AF13="",M$7=""),"",IF(AND($AI13=1,$AG13&lt;M$7+TTStep,$AH13&gt;M$7),IF(COUNTIFS(tblSteps[担当],$AJ13,tblSteps[重複対象],1,tblSteps[開始分],"&lt;"&amp;(M$7+TTStep),tblSteps[終了分],"&gt;"&amp;M$7)-$AK13&gt;0,"重","■"),""))</f>
        <v>■</v>
      </c>
      <c r="N13" s="93" t="str">
        <f>IF(OR($AF13="",N$7=""),"",IF(AND($AI13=1,$AG13&lt;N$7+TTStep,$AH13&gt;N$7),IF(COUNTIFS(tblSteps[担当],$AJ13,tblSteps[重複対象],1,tblSteps[開始分],"&lt;"&amp;(N$7+TTStep),tblSteps[終了分],"&gt;"&amp;N$7)-$AK13&gt;0,"重","■"),""))</f>
        <v>■</v>
      </c>
      <c r="O13" s="93" t="str">
        <f>IF(OR($AF13="",O$7=""),"",IF(AND($AI13=1,$AG13&lt;O$7+TTStep,$AH13&gt;O$7),IF(COUNTIFS(tblSteps[担当],$AJ13,tblSteps[重複対象],1,tblSteps[開始分],"&lt;"&amp;(O$7+TTStep),tblSteps[終了分],"&gt;"&amp;O$7)-$AK13&gt;0,"重","■"),""))</f>
        <v>重</v>
      </c>
      <c r="P13" s="93" t="str">
        <f>IF(OR($AF13="",P$7=""),"",IF(AND($AI13=1,$AG13&lt;P$7+TTStep,$AH13&gt;P$7),IF(COUNTIFS(tblSteps[担当],$AJ13,tblSteps[重複対象],1,tblSteps[開始分],"&lt;"&amp;(P$7+TTStep),tblSteps[終了分],"&gt;"&amp;P$7)-$AK13&gt;0,"重","■"),""))</f>
        <v>重</v>
      </c>
      <c r="Q13" s="93" t="str">
        <f>IF(OR($AF13="",Q$7=""),"",IF(AND($AI13=1,$AG13&lt;Q$7+TTStep,$AH13&gt;Q$7),IF(COUNTIFS(tblSteps[担当],$AJ13,tblSteps[重複対象],1,tblSteps[開始分],"&lt;"&amp;(Q$7+TTStep),tblSteps[終了分],"&gt;"&amp;Q$7)-$AK13&gt;0,"重","■"),""))</f>
        <v/>
      </c>
      <c r="R13" s="93" t="str">
        <f>IF(OR($AF13="",R$7=""),"",IF(AND($AI13=1,$AG13&lt;R$7+TTStep,$AH13&gt;R$7),IF(COUNTIFS(tblSteps[担当],$AJ13,tblSteps[重複対象],1,tblSteps[開始分],"&lt;"&amp;(R$7+TTStep),tblSteps[終了分],"&gt;"&amp;R$7)-$AK13&gt;0,"重","■"),""))</f>
        <v/>
      </c>
      <c r="S13" s="93" t="str">
        <f>IF(OR($AF13="",S$7=""),"",IF(AND($AI13=1,$AG13&lt;S$7+TTStep,$AH13&gt;S$7),IF(COUNTIFS(tblSteps[担当],$AJ13,tblSteps[重複対象],1,tblSteps[開始分],"&lt;"&amp;(S$7+TTStep),tblSteps[終了分],"&gt;"&amp;S$7)-$AK13&gt;0,"重","■"),""))</f>
        <v/>
      </c>
      <c r="T13" s="93" t="str">
        <f>IF(OR($AF13="",T$7=""),"",IF(AND($AI13=1,$AG13&lt;T$7+TTStep,$AH13&gt;T$7),IF(COUNTIFS(tblSteps[担当],$AJ13,tblSteps[重複対象],1,tblSteps[開始分],"&lt;"&amp;(T$7+TTStep),tblSteps[終了分],"&gt;"&amp;T$7)-$AK13&gt;0,"重","■"),""))</f>
        <v/>
      </c>
      <c r="U13" s="93" t="str">
        <f>IF(OR($AF13="",U$7=""),"",IF(AND($AI13=1,$AG13&lt;U$7+TTStep,$AH13&gt;U$7),IF(COUNTIFS(tblSteps[担当],$AJ13,tblSteps[重複対象],1,tblSteps[開始分],"&lt;"&amp;(U$7+TTStep),tblSteps[終了分],"&gt;"&amp;U$7)-$AK13&gt;0,"重","■"),""))</f>
        <v/>
      </c>
      <c r="V13" s="93" t="str">
        <f>IF(OR($AF13="",V$7=""),"",IF(AND($AI13=1,$AG13&lt;V$7+TTStep,$AH13&gt;V$7),IF(COUNTIFS(tblSteps[担当],$AJ13,tblSteps[重複対象],1,tblSteps[開始分],"&lt;"&amp;(V$7+TTStep),tblSteps[終了分],"&gt;"&amp;V$7)-$AK13&gt;0,"重","■"),""))</f>
        <v/>
      </c>
      <c r="W13" s="93" t="str">
        <f>IF(OR($AF13="",W$7=""),"",IF(AND($AI13=1,$AG13&lt;W$7+TTStep,$AH13&gt;W$7),IF(COUNTIFS(tblSteps[担当],$AJ13,tblSteps[重複対象],1,tblSteps[開始分],"&lt;"&amp;(W$7+TTStep),tblSteps[終了分],"&gt;"&amp;W$7)-$AK13&gt;0,"重","■"),""))</f>
        <v/>
      </c>
      <c r="X13" s="93" t="str">
        <f>IF(OR($AF13="",X$7=""),"",IF(AND($AI13=1,$AG13&lt;X$7+TTStep,$AH13&gt;X$7),IF(COUNTIFS(tblSteps[担当],$AJ13,tblSteps[重複対象],1,tblSteps[開始分],"&lt;"&amp;(X$7+TTStep),tblSteps[終了分],"&gt;"&amp;X$7)-$AK13&gt;0,"重","■"),""))</f>
        <v/>
      </c>
      <c r="Y13" s="93" t="str">
        <f>IF(OR($AF13="",Y$7=""),"",IF(AND($AI13=1,$AG13&lt;Y$7+TTStep,$AH13&gt;Y$7),IF(COUNTIFS(tblSteps[担当],$AJ13,tblSteps[重複対象],1,tblSteps[開始分],"&lt;"&amp;(Y$7+TTStep),tblSteps[終了分],"&gt;"&amp;Y$7)-$AK13&gt;0,"重","■"),""))</f>
        <v/>
      </c>
      <c r="Z13" s="93" t="str">
        <f>IF(OR($AF13="",Z$7=""),"",IF(AND($AI13=1,$AG13&lt;Z$7+TTStep,$AH13&gt;Z$7),IF(COUNTIFS(tblSteps[担当],$AJ13,tblSteps[重複対象],1,tblSteps[開始分],"&lt;"&amp;(Z$7+TTStep),tblSteps[終了分],"&gt;"&amp;Z$7)-$AK13&gt;0,"重","■"),""))</f>
        <v/>
      </c>
      <c r="AA13" s="93" t="str">
        <f>IF(OR($AF13="",AA$7=""),"",IF(AND($AI13=1,$AG13&lt;AA$7+TTStep,$AH13&gt;AA$7),IF(COUNTIFS(tblSteps[担当],$AJ13,tblSteps[重複対象],1,tblSteps[開始分],"&lt;"&amp;(AA$7+TTStep),tblSteps[終了分],"&gt;"&amp;AA$7)-$AK13&gt;0,"重","■"),""))</f>
        <v/>
      </c>
      <c r="AB13" s="93" t="str">
        <f>IF(OR($AF13="",AB$7=""),"",IF(AND($AI13=1,$AG13&lt;AB$7+TTStep,$AH13&gt;AB$7),IF(COUNTIFS(tblSteps[担当],$AJ13,tblSteps[重複対象],1,tblSteps[開始分],"&lt;"&amp;(AB$7+TTStep),tblSteps[終了分],"&gt;"&amp;AB$7)-$AK13&gt;0,"重","■"),""))</f>
        <v/>
      </c>
      <c r="AC13" s="93" t="str">
        <f>IF(OR($AF13="",AC$7=""),"",IF(AND($AI13=1,$AG13&lt;AC$7+TTStep,$AH13&gt;AC$7),IF(COUNTIFS(tblSteps[担当],$AJ13,tblSteps[重複対象],1,tblSteps[開始分],"&lt;"&amp;(AC$7+TTStep),tblSteps[終了分],"&gt;"&amp;AC$7)-$AK13&gt;0,"重","■"),""))</f>
        <v/>
      </c>
      <c r="AD13" s="93" t="str">
        <f>IF(OR($AF13="",AD$7=""),"",IF(AND($AI13=1,$AG13&lt;AD$7+TTStep,$AH13&gt;AD$7),IF(COUNTIFS(tblSteps[担当],$AJ13,tblSteps[重複対象],1,tblSteps[開始分],"&lt;"&amp;(AD$7+TTStep),tblSteps[終了分],"&gt;"&amp;AD$7)-$AK13&gt;0,"重","■"),""))</f>
        <v/>
      </c>
      <c r="AF13">
        <f>IF(6&gt;COUNTIF(tblSteps[時間割対象],1),"",IFERROR(MATCH(6,tblSteps[時間割順位],0),""))</f>
        <v>8</v>
      </c>
      <c r="AG13">
        <f>IF($AF13="","",INDEX(tblSteps[開始分],$AF13))</f>
        <v>66672540</v>
      </c>
      <c r="AH13">
        <f>IF($AF13="","",INDEX(tblSteps[終了分],$AF13))</f>
        <v>66672720</v>
      </c>
      <c r="AI13">
        <f>IF($AF13="","",INDEX(tblSteps[時刻OK],$AF13))</f>
        <v>1</v>
      </c>
      <c r="AJ13" t="str">
        <f>IF($AF13="","",INDEX(tblSteps[担当],$AF13))</f>
        <v>伊藤</v>
      </c>
      <c r="AK13">
        <f>IF($AF13="","",INDEX(tblSteps[重複対象],$AF13))</f>
        <v>1</v>
      </c>
      <c r="AL13" t="str">
        <f>IF($AF13="","",INDEX(tblSteps[案件ID],$AF13))</f>
        <v>A0020</v>
      </c>
    </row>
    <row r="14" ht="20" customHeight="1">
      <c r="A14" s="89" t="str">
        <f>IF($AF14="","",INDEX(tblSteps[工程ID],$AF14)&amp;"")</f>
        <v>S0024</v>
      </c>
      <c r="B14" s="88" t="str">
        <f>IF($AF14="","",$AL14&amp;" "&amp;INDEX(tblSteps[案件名],$AF14))</f>
        <v>A0020 スポット修理（搬送装置）</v>
      </c>
      <c r="C14" s="88" t="str">
        <f>IF($AF14="","",INDEX(tblSteps[工程名],$AF14)&amp;"")</f>
        <v>追加見積の打合せ</v>
      </c>
      <c r="D14" s="89" t="str">
        <f>IF($AF14="","",$AJ14&amp;"")</f>
        <v>伊藤</v>
      </c>
      <c r="E14" s="103">
        <f>IF($AF14="","",IF($AI14=1,$AG14/1440,INDEX(tblSteps[計画開始日],$AF14)))</f>
        <v>46300.458333333336</v>
      </c>
      <c r="F14" s="103">
        <f>IF($AF14="","",IF($AI14=1,$AH14/1440,INDEX(tblSteps[計画終了日],$AF14)))</f>
        <v>46300.5</v>
      </c>
      <c r="G14" s="89" t="str">
        <f>IF($AF14="","",INDEX(tblSteps[状態],$AF14)&amp;"")</f>
        <v>未着手</v>
      </c>
      <c r="H14" s="92" t="str">
        <f>IF($AF14="","",_xlfn.TEXTJOIN("／",TRUE,IF($AI14=0,"終了日時が開始日時以前",""),IF(AND($AI14=1,OR($AH14&lt;=TTDate*1440+ROUND(TTStart*1440,0),$AG14&gt;=TTDate*1440+ROUND(TTEnd*1440,0))),"表示時間外",""),IF(AND($AI14=1,$AG14&lt;TTDate*1440),"前日から継続",""),IF(AND($AI14=1,$AH14&gt;TTDate*1440+1440),"翌日へ継続",""),IF(INDEX(tblSteps[重複数],$AF14)&gt;0,"予定重複の可能性","")))</f>
        <v>予定重複の可能性</v>
      </c>
      <c r="I14" s="93" t="str">
        <f>IF(OR($AF14="",I$7=""),"",IF(AND($AI14=1,$AG14&lt;I$7+TTStep,$AH14&gt;I$7),IF(COUNTIFS(tblSteps[担当],$AJ14,tblSteps[重複対象],1,tblSteps[開始分],"&lt;"&amp;(I$7+TTStep),tblSteps[終了分],"&gt;"&amp;I$7)-$AK14&gt;0,"重","■"),""))</f>
        <v/>
      </c>
      <c r="J14" s="93" t="str">
        <f>IF(OR($AF14="",J$7=""),"",IF(AND($AI14=1,$AG14&lt;J$7+TTStep,$AH14&gt;J$7),IF(COUNTIFS(tblSteps[担当],$AJ14,tblSteps[重複対象],1,tblSteps[開始分],"&lt;"&amp;(J$7+TTStep),tblSteps[終了分],"&gt;"&amp;J$7)-$AK14&gt;0,"重","■"),""))</f>
        <v/>
      </c>
      <c r="K14" s="93" t="str">
        <f>IF(OR($AF14="",K$7=""),"",IF(AND($AI14=1,$AG14&lt;K$7+TTStep,$AH14&gt;K$7),IF(COUNTIFS(tblSteps[担当],$AJ14,tblSteps[重複対象],1,tblSteps[開始分],"&lt;"&amp;(K$7+TTStep),tblSteps[終了分],"&gt;"&amp;K$7)-$AK14&gt;0,"重","■"),""))</f>
        <v/>
      </c>
      <c r="L14" s="93" t="str">
        <f>IF(OR($AF14="",L$7=""),"",IF(AND($AI14=1,$AG14&lt;L$7+TTStep,$AH14&gt;L$7),IF(COUNTIFS(tblSteps[担当],$AJ14,tblSteps[重複対象],1,tblSteps[開始分],"&lt;"&amp;(L$7+TTStep),tblSteps[終了分],"&gt;"&amp;L$7)-$AK14&gt;0,"重","■"),""))</f>
        <v/>
      </c>
      <c r="M14" s="93" t="str">
        <f>IF(OR($AF14="",M$7=""),"",IF(AND($AI14=1,$AG14&lt;M$7+TTStep,$AH14&gt;M$7),IF(COUNTIFS(tblSteps[担当],$AJ14,tblSteps[重複対象],1,tblSteps[開始分],"&lt;"&amp;(M$7+TTStep),tblSteps[終了分],"&gt;"&amp;M$7)-$AK14&gt;0,"重","■"),""))</f>
        <v/>
      </c>
      <c r="N14" s="93" t="str">
        <f>IF(OR($AF14="",N$7=""),"",IF(AND($AI14=1,$AG14&lt;N$7+TTStep,$AH14&gt;N$7),IF(COUNTIFS(tblSteps[担当],$AJ14,tblSteps[重複対象],1,tblSteps[開始分],"&lt;"&amp;(N$7+TTStep),tblSteps[終了分],"&gt;"&amp;N$7)-$AK14&gt;0,"重","■"),""))</f>
        <v/>
      </c>
      <c r="O14" s="93" t="str">
        <f>IF(OR($AF14="",O$7=""),"",IF(AND($AI14=1,$AG14&lt;O$7+TTStep,$AH14&gt;O$7),IF(COUNTIFS(tblSteps[担当],$AJ14,tblSteps[重複対象],1,tblSteps[開始分],"&lt;"&amp;(O$7+TTStep),tblSteps[終了分],"&gt;"&amp;O$7)-$AK14&gt;0,"重","■"),""))</f>
        <v>重</v>
      </c>
      <c r="P14" s="93" t="str">
        <f>IF(OR($AF14="",P$7=""),"",IF(AND($AI14=1,$AG14&lt;P$7+TTStep,$AH14&gt;P$7),IF(COUNTIFS(tblSteps[担当],$AJ14,tblSteps[重複対象],1,tblSteps[開始分],"&lt;"&amp;(P$7+TTStep),tblSteps[終了分],"&gt;"&amp;P$7)-$AK14&gt;0,"重","■"),""))</f>
        <v>重</v>
      </c>
      <c r="Q14" s="93" t="str">
        <f>IF(OR($AF14="",Q$7=""),"",IF(AND($AI14=1,$AG14&lt;Q$7+TTStep,$AH14&gt;Q$7),IF(COUNTIFS(tblSteps[担当],$AJ14,tblSteps[重複対象],1,tblSteps[開始分],"&lt;"&amp;(Q$7+TTStep),tblSteps[終了分],"&gt;"&amp;Q$7)-$AK14&gt;0,"重","■"),""))</f>
        <v/>
      </c>
      <c r="R14" s="93" t="str">
        <f>IF(OR($AF14="",R$7=""),"",IF(AND($AI14=1,$AG14&lt;R$7+TTStep,$AH14&gt;R$7),IF(COUNTIFS(tblSteps[担当],$AJ14,tblSteps[重複対象],1,tblSteps[開始分],"&lt;"&amp;(R$7+TTStep),tblSteps[終了分],"&gt;"&amp;R$7)-$AK14&gt;0,"重","■"),""))</f>
        <v/>
      </c>
      <c r="S14" s="93" t="str">
        <f>IF(OR($AF14="",S$7=""),"",IF(AND($AI14=1,$AG14&lt;S$7+TTStep,$AH14&gt;S$7),IF(COUNTIFS(tblSteps[担当],$AJ14,tblSteps[重複対象],1,tblSteps[開始分],"&lt;"&amp;(S$7+TTStep),tblSteps[終了分],"&gt;"&amp;S$7)-$AK14&gt;0,"重","■"),""))</f>
        <v/>
      </c>
      <c r="T14" s="93" t="str">
        <f>IF(OR($AF14="",T$7=""),"",IF(AND($AI14=1,$AG14&lt;T$7+TTStep,$AH14&gt;T$7),IF(COUNTIFS(tblSteps[担当],$AJ14,tblSteps[重複対象],1,tblSteps[開始分],"&lt;"&amp;(T$7+TTStep),tblSteps[終了分],"&gt;"&amp;T$7)-$AK14&gt;0,"重","■"),""))</f>
        <v/>
      </c>
      <c r="U14" s="93" t="str">
        <f>IF(OR($AF14="",U$7=""),"",IF(AND($AI14=1,$AG14&lt;U$7+TTStep,$AH14&gt;U$7),IF(COUNTIFS(tblSteps[担当],$AJ14,tblSteps[重複対象],1,tblSteps[開始分],"&lt;"&amp;(U$7+TTStep),tblSteps[終了分],"&gt;"&amp;U$7)-$AK14&gt;0,"重","■"),""))</f>
        <v/>
      </c>
      <c r="V14" s="93" t="str">
        <f>IF(OR($AF14="",V$7=""),"",IF(AND($AI14=1,$AG14&lt;V$7+TTStep,$AH14&gt;V$7),IF(COUNTIFS(tblSteps[担当],$AJ14,tblSteps[重複対象],1,tblSteps[開始分],"&lt;"&amp;(V$7+TTStep),tblSteps[終了分],"&gt;"&amp;V$7)-$AK14&gt;0,"重","■"),""))</f>
        <v/>
      </c>
      <c r="W14" s="93" t="str">
        <f>IF(OR($AF14="",W$7=""),"",IF(AND($AI14=1,$AG14&lt;W$7+TTStep,$AH14&gt;W$7),IF(COUNTIFS(tblSteps[担当],$AJ14,tblSteps[重複対象],1,tblSteps[開始分],"&lt;"&amp;(W$7+TTStep),tblSteps[終了分],"&gt;"&amp;W$7)-$AK14&gt;0,"重","■"),""))</f>
        <v/>
      </c>
      <c r="X14" s="93" t="str">
        <f>IF(OR($AF14="",X$7=""),"",IF(AND($AI14=1,$AG14&lt;X$7+TTStep,$AH14&gt;X$7),IF(COUNTIFS(tblSteps[担当],$AJ14,tblSteps[重複対象],1,tblSteps[開始分],"&lt;"&amp;(X$7+TTStep),tblSteps[終了分],"&gt;"&amp;X$7)-$AK14&gt;0,"重","■"),""))</f>
        <v/>
      </c>
      <c r="Y14" s="93" t="str">
        <f>IF(OR($AF14="",Y$7=""),"",IF(AND($AI14=1,$AG14&lt;Y$7+TTStep,$AH14&gt;Y$7),IF(COUNTIFS(tblSteps[担当],$AJ14,tblSteps[重複対象],1,tblSteps[開始分],"&lt;"&amp;(Y$7+TTStep),tblSteps[終了分],"&gt;"&amp;Y$7)-$AK14&gt;0,"重","■"),""))</f>
        <v/>
      </c>
      <c r="Z14" s="93" t="str">
        <f>IF(OR($AF14="",Z$7=""),"",IF(AND($AI14=1,$AG14&lt;Z$7+TTStep,$AH14&gt;Z$7),IF(COUNTIFS(tblSteps[担当],$AJ14,tblSteps[重複対象],1,tblSteps[開始分],"&lt;"&amp;(Z$7+TTStep),tblSteps[終了分],"&gt;"&amp;Z$7)-$AK14&gt;0,"重","■"),""))</f>
        <v/>
      </c>
      <c r="AA14" s="93" t="str">
        <f>IF(OR($AF14="",AA$7=""),"",IF(AND($AI14=1,$AG14&lt;AA$7+TTStep,$AH14&gt;AA$7),IF(COUNTIFS(tblSteps[担当],$AJ14,tblSteps[重複対象],1,tblSteps[開始分],"&lt;"&amp;(AA$7+TTStep),tblSteps[終了分],"&gt;"&amp;AA$7)-$AK14&gt;0,"重","■"),""))</f>
        <v/>
      </c>
      <c r="AB14" s="93" t="str">
        <f>IF(OR($AF14="",AB$7=""),"",IF(AND($AI14=1,$AG14&lt;AB$7+TTStep,$AH14&gt;AB$7),IF(COUNTIFS(tblSteps[担当],$AJ14,tblSteps[重複対象],1,tblSteps[開始分],"&lt;"&amp;(AB$7+TTStep),tblSteps[終了分],"&gt;"&amp;AB$7)-$AK14&gt;0,"重","■"),""))</f>
        <v/>
      </c>
      <c r="AC14" s="93" t="str">
        <f>IF(OR($AF14="",AC$7=""),"",IF(AND($AI14=1,$AG14&lt;AC$7+TTStep,$AH14&gt;AC$7),IF(COUNTIFS(tblSteps[担当],$AJ14,tblSteps[重複対象],1,tblSteps[開始分],"&lt;"&amp;(AC$7+TTStep),tblSteps[終了分],"&gt;"&amp;AC$7)-$AK14&gt;0,"重","■"),""))</f>
        <v/>
      </c>
      <c r="AD14" s="93" t="str">
        <f>IF(OR($AF14="",AD$7=""),"",IF(AND($AI14=1,$AG14&lt;AD$7+TTStep,$AH14&gt;AD$7),IF(COUNTIFS(tblSteps[担当],$AJ14,tblSteps[重複対象],1,tblSteps[開始分],"&lt;"&amp;(AD$7+TTStep),tblSteps[終了分],"&gt;"&amp;AD$7)-$AK14&gt;0,"重","■"),""))</f>
        <v/>
      </c>
      <c r="AF14">
        <f>IF(7&gt;COUNTIF(tblSteps[時間割対象],1),"",IFERROR(MATCH(7,tblSteps[時間割順位],0),""))</f>
        <v>24</v>
      </c>
      <c r="AG14">
        <f>IF($AF14="","",INDEX(tblSteps[開始分],$AF14))</f>
        <v>66672660</v>
      </c>
      <c r="AH14">
        <f>IF($AF14="","",INDEX(tblSteps[終了分],$AF14))</f>
        <v>66672720</v>
      </c>
      <c r="AI14">
        <f>IF($AF14="","",INDEX(tblSteps[時刻OK],$AF14))</f>
        <v>1</v>
      </c>
      <c r="AJ14" t="str">
        <f>IF($AF14="","",INDEX(tblSteps[担当],$AF14))</f>
        <v>伊藤</v>
      </c>
      <c r="AK14">
        <f>IF($AF14="","",INDEX(tblSteps[重複対象],$AF14))</f>
        <v>1</v>
      </c>
      <c r="AL14" t="str">
        <f>IF($AF14="","",INDEX(tblSteps[案件ID],$AF14))</f>
        <v>A0020</v>
      </c>
    </row>
    <row r="15" ht="20" customHeight="1">
      <c r="A15" s="89" t="str">
        <f>IF($AF15="","",INDEX(tblSteps[工程ID],$AF15)&amp;"")</f>
        <v>S0003</v>
      </c>
      <c r="B15" s="88" t="str">
        <f>IF($AF15="","",$AL15&amp;" "&amp;INDEX(tblSteps[案件名],$AF15))</f>
        <v>A0008 工作機械の搬入・据付</v>
      </c>
      <c r="C15" s="88" t="str">
        <f>IF($AF15="","",INDEX(tblSteps[工程名],$AF15)&amp;"")</f>
        <v>基礎工事</v>
      </c>
      <c r="D15" s="89" t="str">
        <f>IF($AF15="","",$AJ15&amp;"")</f>
        <v>協力会社A</v>
      </c>
      <c r="E15" s="103">
        <f>IF($AF15="","",IF($AI15=1,$AG15/1440,INDEX(tblSteps[計画開始日],$AF15)))</f>
        <v>46293.375</v>
      </c>
      <c r="F15" s="103">
        <f>IF($AF15="","",IF($AI15=1,$AH15/1440,INDEX(tblSteps[計画終了日],$AF15)))</f>
        <v>46302.75</v>
      </c>
      <c r="G15" s="89" t="str">
        <f>IF($AF15="","",INDEX(tblSteps[状態],$AF15)&amp;"")</f>
        <v>進行中</v>
      </c>
      <c r="H15" s="92" t="str">
        <f>IF($AF15="","",_xlfn.TEXTJOIN("／",TRUE,IF($AI15=0,"終了日時が開始日時以前",""),IF(AND($AI15=1,OR($AH15&lt;=TTDate*1440+ROUND(TTStart*1440,0),$AG15&gt;=TTDate*1440+ROUND(TTEnd*1440,0))),"表示時間外",""),IF(AND($AI15=1,$AG15&lt;TTDate*1440),"前日から継続",""),IF(AND($AI15=1,$AH15&gt;TTDate*1440+1440),"翌日へ継続",""),IF(INDEX(tblSteps[重複数],$AF15)&gt;0,"予定重複の可能性","")))</f>
        <v>前日から継続／翌日へ継続</v>
      </c>
      <c r="I15" s="93" t="str">
        <f>IF(OR($AF15="",I$7=""),"",IF(AND($AI15=1,$AG15&lt;I$7+TTStep,$AH15&gt;I$7),IF(COUNTIFS(tblSteps[担当],$AJ15,tblSteps[重複対象],1,tblSteps[開始分],"&lt;"&amp;(I$7+TTStep),tblSteps[終了分],"&gt;"&amp;I$7)-$AK15&gt;0,"重","■"),""))</f>
        <v>■</v>
      </c>
      <c r="J15" s="93" t="str">
        <f>IF(OR($AF15="",J$7=""),"",IF(AND($AI15=1,$AG15&lt;J$7+TTStep,$AH15&gt;J$7),IF(COUNTIFS(tblSteps[担当],$AJ15,tblSteps[重複対象],1,tblSteps[開始分],"&lt;"&amp;(J$7+TTStep),tblSteps[終了分],"&gt;"&amp;J$7)-$AK15&gt;0,"重","■"),""))</f>
        <v>■</v>
      </c>
      <c r="K15" s="93" t="str">
        <f>IF(OR($AF15="",K$7=""),"",IF(AND($AI15=1,$AG15&lt;K$7+TTStep,$AH15&gt;K$7),IF(COUNTIFS(tblSteps[担当],$AJ15,tblSteps[重複対象],1,tblSteps[開始分],"&lt;"&amp;(K$7+TTStep),tblSteps[終了分],"&gt;"&amp;K$7)-$AK15&gt;0,"重","■"),""))</f>
        <v>■</v>
      </c>
      <c r="L15" s="93" t="str">
        <f>IF(OR($AF15="",L$7=""),"",IF(AND($AI15=1,$AG15&lt;L$7+TTStep,$AH15&gt;L$7),IF(COUNTIFS(tblSteps[担当],$AJ15,tblSteps[重複対象],1,tblSteps[開始分],"&lt;"&amp;(L$7+TTStep),tblSteps[終了分],"&gt;"&amp;L$7)-$AK15&gt;0,"重","■"),""))</f>
        <v>■</v>
      </c>
      <c r="M15" s="93" t="str">
        <f>IF(OR($AF15="",M$7=""),"",IF(AND($AI15=1,$AG15&lt;M$7+TTStep,$AH15&gt;M$7),IF(COUNTIFS(tblSteps[担当],$AJ15,tblSteps[重複対象],1,tblSteps[開始分],"&lt;"&amp;(M$7+TTStep),tblSteps[終了分],"&gt;"&amp;M$7)-$AK15&gt;0,"重","■"),""))</f>
        <v>■</v>
      </c>
      <c r="N15" s="93" t="str">
        <f>IF(OR($AF15="",N$7=""),"",IF(AND($AI15=1,$AG15&lt;N$7+TTStep,$AH15&gt;N$7),IF(COUNTIFS(tblSteps[担当],$AJ15,tblSteps[重複対象],1,tblSteps[開始分],"&lt;"&amp;(N$7+TTStep),tblSteps[終了分],"&gt;"&amp;N$7)-$AK15&gt;0,"重","■"),""))</f>
        <v>■</v>
      </c>
      <c r="O15" s="93" t="str">
        <f>IF(OR($AF15="",O$7=""),"",IF(AND($AI15=1,$AG15&lt;O$7+TTStep,$AH15&gt;O$7),IF(COUNTIFS(tblSteps[担当],$AJ15,tblSteps[重複対象],1,tblSteps[開始分],"&lt;"&amp;(O$7+TTStep),tblSteps[終了分],"&gt;"&amp;O$7)-$AK15&gt;0,"重","■"),""))</f>
        <v>■</v>
      </c>
      <c r="P15" s="93" t="str">
        <f>IF(OR($AF15="",P$7=""),"",IF(AND($AI15=1,$AG15&lt;P$7+TTStep,$AH15&gt;P$7),IF(COUNTIFS(tblSteps[担当],$AJ15,tblSteps[重複対象],1,tblSteps[開始分],"&lt;"&amp;(P$7+TTStep),tblSteps[終了分],"&gt;"&amp;P$7)-$AK15&gt;0,"重","■"),""))</f>
        <v>■</v>
      </c>
      <c r="Q15" s="93" t="str">
        <f>IF(OR($AF15="",Q$7=""),"",IF(AND($AI15=1,$AG15&lt;Q$7+TTStep,$AH15&gt;Q$7),IF(COUNTIFS(tblSteps[担当],$AJ15,tblSteps[重複対象],1,tblSteps[開始分],"&lt;"&amp;(Q$7+TTStep),tblSteps[終了分],"&gt;"&amp;Q$7)-$AK15&gt;0,"重","■"),""))</f>
        <v>■</v>
      </c>
      <c r="R15" s="93" t="str">
        <f>IF(OR($AF15="",R$7=""),"",IF(AND($AI15=1,$AG15&lt;R$7+TTStep,$AH15&gt;R$7),IF(COUNTIFS(tblSteps[担当],$AJ15,tblSteps[重複対象],1,tblSteps[開始分],"&lt;"&amp;(R$7+TTStep),tblSteps[終了分],"&gt;"&amp;R$7)-$AK15&gt;0,"重","■"),""))</f>
        <v>■</v>
      </c>
      <c r="S15" s="93" t="str">
        <f>IF(OR($AF15="",S$7=""),"",IF(AND($AI15=1,$AG15&lt;S$7+TTStep,$AH15&gt;S$7),IF(COUNTIFS(tblSteps[担当],$AJ15,tblSteps[重複対象],1,tblSteps[開始分],"&lt;"&amp;(S$7+TTStep),tblSteps[終了分],"&gt;"&amp;S$7)-$AK15&gt;0,"重","■"),""))</f>
        <v>■</v>
      </c>
      <c r="T15" s="93" t="str">
        <f>IF(OR($AF15="",T$7=""),"",IF(AND($AI15=1,$AG15&lt;T$7+TTStep,$AH15&gt;T$7),IF(COUNTIFS(tblSteps[担当],$AJ15,tblSteps[重複対象],1,tblSteps[開始分],"&lt;"&amp;(T$7+TTStep),tblSteps[終了分],"&gt;"&amp;T$7)-$AK15&gt;0,"重","■"),""))</f>
        <v>■</v>
      </c>
      <c r="U15" s="93" t="str">
        <f>IF(OR($AF15="",U$7=""),"",IF(AND($AI15=1,$AG15&lt;U$7+TTStep,$AH15&gt;U$7),IF(COUNTIFS(tblSteps[担当],$AJ15,tblSteps[重複対象],1,tblSteps[開始分],"&lt;"&amp;(U$7+TTStep),tblSteps[終了分],"&gt;"&amp;U$7)-$AK15&gt;0,"重","■"),""))</f>
        <v>■</v>
      </c>
      <c r="V15" s="93" t="str">
        <f>IF(OR($AF15="",V$7=""),"",IF(AND($AI15=1,$AG15&lt;V$7+TTStep,$AH15&gt;V$7),IF(COUNTIFS(tblSteps[担当],$AJ15,tblSteps[重複対象],1,tblSteps[開始分],"&lt;"&amp;(V$7+TTStep),tblSteps[終了分],"&gt;"&amp;V$7)-$AK15&gt;0,"重","■"),""))</f>
        <v>■</v>
      </c>
      <c r="W15" s="93" t="str">
        <f>IF(OR($AF15="",W$7=""),"",IF(AND($AI15=1,$AG15&lt;W$7+TTStep,$AH15&gt;W$7),IF(COUNTIFS(tblSteps[担当],$AJ15,tblSteps[重複対象],1,tblSteps[開始分],"&lt;"&amp;(W$7+TTStep),tblSteps[終了分],"&gt;"&amp;W$7)-$AK15&gt;0,"重","■"),""))</f>
        <v>■</v>
      </c>
      <c r="X15" s="93" t="str">
        <f>IF(OR($AF15="",X$7=""),"",IF(AND($AI15=1,$AG15&lt;X$7+TTStep,$AH15&gt;X$7),IF(COUNTIFS(tblSteps[担当],$AJ15,tblSteps[重複対象],1,tblSteps[開始分],"&lt;"&amp;(X$7+TTStep),tblSteps[終了分],"&gt;"&amp;X$7)-$AK15&gt;0,"重","■"),""))</f>
        <v>■</v>
      </c>
      <c r="Y15" s="93" t="str">
        <f>IF(OR($AF15="",Y$7=""),"",IF(AND($AI15=1,$AG15&lt;Y$7+TTStep,$AH15&gt;Y$7),IF(COUNTIFS(tblSteps[担当],$AJ15,tblSteps[重複対象],1,tblSteps[開始分],"&lt;"&amp;(Y$7+TTStep),tblSteps[終了分],"&gt;"&amp;Y$7)-$AK15&gt;0,"重","■"),""))</f>
        <v>■</v>
      </c>
      <c r="Z15" s="93" t="str">
        <f>IF(OR($AF15="",Z$7=""),"",IF(AND($AI15=1,$AG15&lt;Z$7+TTStep,$AH15&gt;Z$7),IF(COUNTIFS(tblSteps[担当],$AJ15,tblSteps[重複対象],1,tblSteps[開始分],"&lt;"&amp;(Z$7+TTStep),tblSteps[終了分],"&gt;"&amp;Z$7)-$AK15&gt;0,"重","■"),""))</f>
        <v>■</v>
      </c>
      <c r="AA15" s="93" t="str">
        <f>IF(OR($AF15="",AA$7=""),"",IF(AND($AI15=1,$AG15&lt;AA$7+TTStep,$AH15&gt;AA$7),IF(COUNTIFS(tblSteps[担当],$AJ15,tblSteps[重複対象],1,tblSteps[開始分],"&lt;"&amp;(AA$7+TTStep),tblSteps[終了分],"&gt;"&amp;AA$7)-$AK15&gt;0,"重","■"),""))</f>
        <v>■</v>
      </c>
      <c r="AB15" s="93" t="str">
        <f>IF(OR($AF15="",AB$7=""),"",IF(AND($AI15=1,$AG15&lt;AB$7+TTStep,$AH15&gt;AB$7),IF(COUNTIFS(tblSteps[担当],$AJ15,tblSteps[重複対象],1,tblSteps[開始分],"&lt;"&amp;(AB$7+TTStep),tblSteps[終了分],"&gt;"&amp;AB$7)-$AK15&gt;0,"重","■"),""))</f>
        <v>■</v>
      </c>
      <c r="AC15" s="93" t="str">
        <f>IF(OR($AF15="",AC$7=""),"",IF(AND($AI15=1,$AG15&lt;AC$7+TTStep,$AH15&gt;AC$7),IF(COUNTIFS(tblSteps[担当],$AJ15,tblSteps[重複対象],1,tblSteps[開始分],"&lt;"&amp;(AC$7+TTStep),tblSteps[終了分],"&gt;"&amp;AC$7)-$AK15&gt;0,"重","■"),""))</f>
        <v>■</v>
      </c>
      <c r="AD15" s="93" t="str">
        <f>IF(OR($AF15="",AD$7=""),"",IF(AND($AI15=1,$AG15&lt;AD$7+TTStep,$AH15&gt;AD$7),IF(COUNTIFS(tblSteps[担当],$AJ15,tblSteps[重複対象],1,tblSteps[開始分],"&lt;"&amp;(AD$7+TTStep),tblSteps[終了分],"&gt;"&amp;AD$7)-$AK15&gt;0,"重","■"),""))</f>
        <v>■</v>
      </c>
      <c r="AF15">
        <f>IF(8&gt;COUNTIF(tblSteps[時間割対象],1),"",IFERROR(MATCH(8,tblSteps[時間割順位],0),""))</f>
        <v>3</v>
      </c>
      <c r="AG15">
        <f>IF($AF15="","",INDEX(tblSteps[開始分],$AF15))</f>
        <v>66662460</v>
      </c>
      <c r="AH15">
        <f>IF($AF15="","",INDEX(tblSteps[終了分],$AF15))</f>
        <v>66675960</v>
      </c>
      <c r="AI15">
        <f>IF($AF15="","",INDEX(tblSteps[時刻OK],$AF15))</f>
        <v>1</v>
      </c>
      <c r="AJ15" t="str">
        <f>IF($AF15="","",INDEX(tblSteps[担当],$AF15))</f>
        <v>協力会社A</v>
      </c>
      <c r="AK15">
        <f>IF($AF15="","",INDEX(tblSteps[重複対象],$AF15))</f>
        <v>1</v>
      </c>
      <c r="AL15" t="str">
        <f>IF($AF15="","",INDEX(tblSteps[案件ID],$AF15))</f>
        <v>A0008</v>
      </c>
    </row>
    <row r="16" ht="20" customHeight="1">
      <c r="A16" s="89" t="str">
        <f>IF($AF16="","",INDEX(tblSteps[工程ID],$AF16)&amp;"")</f>
        <v>S0017</v>
      </c>
      <c r="B16" s="88" t="str">
        <f>IF($AF16="","",$AL16&amp;" "&amp;INDEX(tblSteps[案件名],$AF16))</f>
        <v>A0022 制御盤更新工事</v>
      </c>
      <c r="C16" s="88" t="str">
        <f>IF($AF16="","",INDEX(tblSteps[工程名],$AF16)&amp;"")</f>
        <v>制御盤製作</v>
      </c>
      <c r="D16" s="89" t="str">
        <f>IF($AF16="","",$AJ16&amp;"")</f>
        <v>協力会社B</v>
      </c>
      <c r="E16" s="103">
        <f>IF($AF16="","",IF($AI16=1,$AG16/1440,INDEX(tblSteps[計画開始日],$AF16)))</f>
        <v>46297.375</v>
      </c>
      <c r="F16" s="103">
        <f>IF($AF16="","",IF($AI16=1,$AH16/1440,INDEX(tblSteps[計画終了日],$AF16)))</f>
        <v>46325.75</v>
      </c>
      <c r="G16" s="89" t="str">
        <f>IF($AF16="","",INDEX(tblSteps[状態],$AF16)&amp;"")</f>
        <v>進行中</v>
      </c>
      <c r="H16" s="92" t="str">
        <f>IF($AF16="","",_xlfn.TEXTJOIN("／",TRUE,IF($AI16=0,"終了日時が開始日時以前",""),IF(AND($AI16=1,OR($AH16&lt;=TTDate*1440+ROUND(TTStart*1440,0),$AG16&gt;=TTDate*1440+ROUND(TTEnd*1440,0))),"表示時間外",""),IF(AND($AI16=1,$AG16&lt;TTDate*1440),"前日から継続",""),IF(AND($AI16=1,$AH16&gt;TTDate*1440+1440),"翌日へ継続",""),IF(INDEX(tblSteps[重複数],$AF16)&gt;0,"予定重複の可能性","")))</f>
        <v>前日から継続／翌日へ継続</v>
      </c>
      <c r="I16" s="93" t="str">
        <f>IF(OR($AF16="",I$7=""),"",IF(AND($AI16=1,$AG16&lt;I$7+TTStep,$AH16&gt;I$7),IF(COUNTIFS(tblSteps[担当],$AJ16,tblSteps[重複対象],1,tblSteps[開始分],"&lt;"&amp;(I$7+TTStep),tblSteps[終了分],"&gt;"&amp;I$7)-$AK16&gt;0,"重","■"),""))</f>
        <v>■</v>
      </c>
      <c r="J16" s="93" t="str">
        <f>IF(OR($AF16="",J$7=""),"",IF(AND($AI16=1,$AG16&lt;J$7+TTStep,$AH16&gt;J$7),IF(COUNTIFS(tblSteps[担当],$AJ16,tblSteps[重複対象],1,tblSteps[開始分],"&lt;"&amp;(J$7+TTStep),tblSteps[終了分],"&gt;"&amp;J$7)-$AK16&gt;0,"重","■"),""))</f>
        <v>■</v>
      </c>
      <c r="K16" s="93" t="str">
        <f>IF(OR($AF16="",K$7=""),"",IF(AND($AI16=1,$AG16&lt;K$7+TTStep,$AH16&gt;K$7),IF(COUNTIFS(tblSteps[担当],$AJ16,tblSteps[重複対象],1,tblSteps[開始分],"&lt;"&amp;(K$7+TTStep),tblSteps[終了分],"&gt;"&amp;K$7)-$AK16&gt;0,"重","■"),""))</f>
        <v>■</v>
      </c>
      <c r="L16" s="93" t="str">
        <f>IF(OR($AF16="",L$7=""),"",IF(AND($AI16=1,$AG16&lt;L$7+TTStep,$AH16&gt;L$7),IF(COUNTIFS(tblSteps[担当],$AJ16,tblSteps[重複対象],1,tblSteps[開始分],"&lt;"&amp;(L$7+TTStep),tblSteps[終了分],"&gt;"&amp;L$7)-$AK16&gt;0,"重","■"),""))</f>
        <v>■</v>
      </c>
      <c r="M16" s="93" t="str">
        <f>IF(OR($AF16="",M$7=""),"",IF(AND($AI16=1,$AG16&lt;M$7+TTStep,$AH16&gt;M$7),IF(COUNTIFS(tblSteps[担当],$AJ16,tblSteps[重複対象],1,tblSteps[開始分],"&lt;"&amp;(M$7+TTStep),tblSteps[終了分],"&gt;"&amp;M$7)-$AK16&gt;0,"重","■"),""))</f>
        <v>■</v>
      </c>
      <c r="N16" s="93" t="str">
        <f>IF(OR($AF16="",N$7=""),"",IF(AND($AI16=1,$AG16&lt;N$7+TTStep,$AH16&gt;N$7),IF(COUNTIFS(tblSteps[担当],$AJ16,tblSteps[重複対象],1,tblSteps[開始分],"&lt;"&amp;(N$7+TTStep),tblSteps[終了分],"&gt;"&amp;N$7)-$AK16&gt;0,"重","■"),""))</f>
        <v>■</v>
      </c>
      <c r="O16" s="93" t="str">
        <f>IF(OR($AF16="",O$7=""),"",IF(AND($AI16=1,$AG16&lt;O$7+TTStep,$AH16&gt;O$7),IF(COUNTIFS(tblSteps[担当],$AJ16,tblSteps[重複対象],1,tblSteps[開始分],"&lt;"&amp;(O$7+TTStep),tblSteps[終了分],"&gt;"&amp;O$7)-$AK16&gt;0,"重","■"),""))</f>
        <v>■</v>
      </c>
      <c r="P16" s="93" t="str">
        <f>IF(OR($AF16="",P$7=""),"",IF(AND($AI16=1,$AG16&lt;P$7+TTStep,$AH16&gt;P$7),IF(COUNTIFS(tblSteps[担当],$AJ16,tblSteps[重複対象],1,tblSteps[開始分],"&lt;"&amp;(P$7+TTStep),tblSteps[終了分],"&gt;"&amp;P$7)-$AK16&gt;0,"重","■"),""))</f>
        <v>■</v>
      </c>
      <c r="Q16" s="93" t="str">
        <f>IF(OR($AF16="",Q$7=""),"",IF(AND($AI16=1,$AG16&lt;Q$7+TTStep,$AH16&gt;Q$7),IF(COUNTIFS(tblSteps[担当],$AJ16,tblSteps[重複対象],1,tblSteps[開始分],"&lt;"&amp;(Q$7+TTStep),tblSteps[終了分],"&gt;"&amp;Q$7)-$AK16&gt;0,"重","■"),""))</f>
        <v>■</v>
      </c>
      <c r="R16" s="93" t="str">
        <f>IF(OR($AF16="",R$7=""),"",IF(AND($AI16=1,$AG16&lt;R$7+TTStep,$AH16&gt;R$7),IF(COUNTIFS(tblSteps[担当],$AJ16,tblSteps[重複対象],1,tblSteps[開始分],"&lt;"&amp;(R$7+TTStep),tblSteps[終了分],"&gt;"&amp;R$7)-$AK16&gt;0,"重","■"),""))</f>
        <v>■</v>
      </c>
      <c r="S16" s="93" t="str">
        <f>IF(OR($AF16="",S$7=""),"",IF(AND($AI16=1,$AG16&lt;S$7+TTStep,$AH16&gt;S$7),IF(COUNTIFS(tblSteps[担当],$AJ16,tblSteps[重複対象],1,tblSteps[開始分],"&lt;"&amp;(S$7+TTStep),tblSteps[終了分],"&gt;"&amp;S$7)-$AK16&gt;0,"重","■"),""))</f>
        <v>■</v>
      </c>
      <c r="T16" s="93" t="str">
        <f>IF(OR($AF16="",T$7=""),"",IF(AND($AI16=1,$AG16&lt;T$7+TTStep,$AH16&gt;T$7),IF(COUNTIFS(tblSteps[担当],$AJ16,tblSteps[重複対象],1,tblSteps[開始分],"&lt;"&amp;(T$7+TTStep),tblSteps[終了分],"&gt;"&amp;T$7)-$AK16&gt;0,"重","■"),""))</f>
        <v>■</v>
      </c>
      <c r="U16" s="93" t="str">
        <f>IF(OR($AF16="",U$7=""),"",IF(AND($AI16=1,$AG16&lt;U$7+TTStep,$AH16&gt;U$7),IF(COUNTIFS(tblSteps[担当],$AJ16,tblSteps[重複対象],1,tblSteps[開始分],"&lt;"&amp;(U$7+TTStep),tblSteps[終了分],"&gt;"&amp;U$7)-$AK16&gt;0,"重","■"),""))</f>
        <v>■</v>
      </c>
      <c r="V16" s="93" t="str">
        <f>IF(OR($AF16="",V$7=""),"",IF(AND($AI16=1,$AG16&lt;V$7+TTStep,$AH16&gt;V$7),IF(COUNTIFS(tblSteps[担当],$AJ16,tblSteps[重複対象],1,tblSteps[開始分],"&lt;"&amp;(V$7+TTStep),tblSteps[終了分],"&gt;"&amp;V$7)-$AK16&gt;0,"重","■"),""))</f>
        <v>■</v>
      </c>
      <c r="W16" s="93" t="str">
        <f>IF(OR($AF16="",W$7=""),"",IF(AND($AI16=1,$AG16&lt;W$7+TTStep,$AH16&gt;W$7),IF(COUNTIFS(tblSteps[担当],$AJ16,tblSteps[重複対象],1,tblSteps[開始分],"&lt;"&amp;(W$7+TTStep),tblSteps[終了分],"&gt;"&amp;W$7)-$AK16&gt;0,"重","■"),""))</f>
        <v>■</v>
      </c>
      <c r="X16" s="93" t="str">
        <f>IF(OR($AF16="",X$7=""),"",IF(AND($AI16=1,$AG16&lt;X$7+TTStep,$AH16&gt;X$7),IF(COUNTIFS(tblSteps[担当],$AJ16,tblSteps[重複対象],1,tblSteps[開始分],"&lt;"&amp;(X$7+TTStep),tblSteps[終了分],"&gt;"&amp;X$7)-$AK16&gt;0,"重","■"),""))</f>
        <v>■</v>
      </c>
      <c r="Y16" s="93" t="str">
        <f>IF(OR($AF16="",Y$7=""),"",IF(AND($AI16=1,$AG16&lt;Y$7+TTStep,$AH16&gt;Y$7),IF(COUNTIFS(tblSteps[担当],$AJ16,tblSteps[重複対象],1,tblSteps[開始分],"&lt;"&amp;(Y$7+TTStep),tblSteps[終了分],"&gt;"&amp;Y$7)-$AK16&gt;0,"重","■"),""))</f>
        <v>■</v>
      </c>
      <c r="Z16" s="93" t="str">
        <f>IF(OR($AF16="",Z$7=""),"",IF(AND($AI16=1,$AG16&lt;Z$7+TTStep,$AH16&gt;Z$7),IF(COUNTIFS(tblSteps[担当],$AJ16,tblSteps[重複対象],1,tblSteps[開始分],"&lt;"&amp;(Z$7+TTStep),tblSteps[終了分],"&gt;"&amp;Z$7)-$AK16&gt;0,"重","■"),""))</f>
        <v>■</v>
      </c>
      <c r="AA16" s="93" t="str">
        <f>IF(OR($AF16="",AA$7=""),"",IF(AND($AI16=1,$AG16&lt;AA$7+TTStep,$AH16&gt;AA$7),IF(COUNTIFS(tblSteps[担当],$AJ16,tblSteps[重複対象],1,tblSteps[開始分],"&lt;"&amp;(AA$7+TTStep),tblSteps[終了分],"&gt;"&amp;AA$7)-$AK16&gt;0,"重","■"),""))</f>
        <v>■</v>
      </c>
      <c r="AB16" s="93" t="str">
        <f>IF(OR($AF16="",AB$7=""),"",IF(AND($AI16=1,$AG16&lt;AB$7+TTStep,$AH16&gt;AB$7),IF(COUNTIFS(tblSteps[担当],$AJ16,tblSteps[重複対象],1,tblSteps[開始分],"&lt;"&amp;(AB$7+TTStep),tblSteps[終了分],"&gt;"&amp;AB$7)-$AK16&gt;0,"重","■"),""))</f>
        <v>■</v>
      </c>
      <c r="AC16" s="93" t="str">
        <f>IF(OR($AF16="",AC$7=""),"",IF(AND($AI16=1,$AG16&lt;AC$7+TTStep,$AH16&gt;AC$7),IF(COUNTIFS(tblSteps[担当],$AJ16,tblSteps[重複対象],1,tblSteps[開始分],"&lt;"&amp;(AC$7+TTStep),tblSteps[終了分],"&gt;"&amp;AC$7)-$AK16&gt;0,"重","■"),""))</f>
        <v>■</v>
      </c>
      <c r="AD16" s="93" t="str">
        <f>IF(OR($AF16="",AD$7=""),"",IF(AND($AI16=1,$AG16&lt;AD$7+TTStep,$AH16&gt;AD$7),IF(COUNTIFS(tblSteps[担当],$AJ16,tblSteps[重複対象],1,tblSteps[開始分],"&lt;"&amp;(AD$7+TTStep),tblSteps[終了分],"&gt;"&amp;AD$7)-$AK16&gt;0,"重","■"),""))</f>
        <v>■</v>
      </c>
      <c r="AF16">
        <f>IF(9&gt;COUNTIF(tblSteps[時間割対象],1),"",IFERROR(MATCH(9,tblSteps[時間割順位],0),""))</f>
        <v>17</v>
      </c>
      <c r="AG16">
        <f>IF($AF16="","",INDEX(tblSteps[開始分],$AF16))</f>
        <v>66668220</v>
      </c>
      <c r="AH16">
        <f>IF($AF16="","",INDEX(tblSteps[終了分],$AF16))</f>
        <v>66709080</v>
      </c>
      <c r="AI16">
        <f>IF($AF16="","",INDEX(tblSteps[時刻OK],$AF16))</f>
        <v>1</v>
      </c>
      <c r="AJ16" t="str">
        <f>IF($AF16="","",INDEX(tblSteps[担当],$AF16))</f>
        <v>協力会社B</v>
      </c>
      <c r="AK16">
        <f>IF($AF16="","",INDEX(tblSteps[重複対象],$AF16))</f>
        <v>1</v>
      </c>
      <c r="AL16" t="str">
        <f>IF($AF16="","",INDEX(tblSteps[案件ID],$AF16))</f>
        <v>A0022</v>
      </c>
    </row>
    <row r="17" ht="20" customHeight="1">
      <c r="A17" s="89" t="str">
        <f>IF($AF17="","",INDEX(tblSteps[工程ID],$AF17)&amp;"")</f>
        <v>S0011</v>
      </c>
      <c r="B17" s="88" t="str">
        <f>IF($AF17="","",$AL17&amp;" "&amp;INDEX(tblSteps[案件名],$AF17))</f>
        <v>A0021 自動倉庫コンベヤ増設工事</v>
      </c>
      <c r="C17" s="88" t="str">
        <f>IF($AF17="","",INDEX(tblSteps[工程名],$AF17)&amp;"")</f>
        <v>部材の発注・製作</v>
      </c>
      <c r="D17" s="89" t="str">
        <f>IF($AF17="","",$AJ17&amp;"")</f>
        <v>協力会社C</v>
      </c>
      <c r="E17" s="103">
        <f>IF($AF17="","",IF($AI17=1,$AG17/1440,INDEX(tblSteps[計画開始日],$AF17)))</f>
        <v>46286.375</v>
      </c>
      <c r="F17" s="103">
        <f>IF($AF17="","",IF($AI17=1,$AH17/1440,INDEX(tblSteps[計画終了日],$AF17)))</f>
        <v>46304.75</v>
      </c>
      <c r="G17" s="89" t="str">
        <f>IF($AF17="","",INDEX(tblSteps[状態],$AF17)&amp;"")</f>
        <v>進行中</v>
      </c>
      <c r="H17" s="92" t="str">
        <f>IF($AF17="","",_xlfn.TEXTJOIN("／",TRUE,IF($AI17=0,"終了日時が開始日時以前",""),IF(AND($AI17=1,OR($AH17&lt;=TTDate*1440+ROUND(TTStart*1440,0),$AG17&gt;=TTDate*1440+ROUND(TTEnd*1440,0))),"表示時間外",""),IF(AND($AI17=1,$AG17&lt;TTDate*1440),"前日から継続",""),IF(AND($AI17=1,$AH17&gt;TTDate*1440+1440),"翌日へ継続",""),IF(INDEX(tblSteps[重複数],$AF17)&gt;0,"予定重複の可能性","")))</f>
        <v>前日から継続／翌日へ継続</v>
      </c>
      <c r="I17" s="93" t="str">
        <f>IF(OR($AF17="",I$7=""),"",IF(AND($AI17=1,$AG17&lt;I$7+TTStep,$AH17&gt;I$7),IF(COUNTIFS(tblSteps[担当],$AJ17,tblSteps[重複対象],1,tblSteps[開始分],"&lt;"&amp;(I$7+TTStep),tblSteps[終了分],"&gt;"&amp;I$7)-$AK17&gt;0,"重","■"),""))</f>
        <v>■</v>
      </c>
      <c r="J17" s="93" t="str">
        <f>IF(OR($AF17="",J$7=""),"",IF(AND($AI17=1,$AG17&lt;J$7+TTStep,$AH17&gt;J$7),IF(COUNTIFS(tblSteps[担当],$AJ17,tblSteps[重複対象],1,tblSteps[開始分],"&lt;"&amp;(J$7+TTStep),tblSteps[終了分],"&gt;"&amp;J$7)-$AK17&gt;0,"重","■"),""))</f>
        <v>■</v>
      </c>
      <c r="K17" s="93" t="str">
        <f>IF(OR($AF17="",K$7=""),"",IF(AND($AI17=1,$AG17&lt;K$7+TTStep,$AH17&gt;K$7),IF(COUNTIFS(tblSteps[担当],$AJ17,tblSteps[重複対象],1,tblSteps[開始分],"&lt;"&amp;(K$7+TTStep),tblSteps[終了分],"&gt;"&amp;K$7)-$AK17&gt;0,"重","■"),""))</f>
        <v>■</v>
      </c>
      <c r="L17" s="93" t="str">
        <f>IF(OR($AF17="",L$7=""),"",IF(AND($AI17=1,$AG17&lt;L$7+TTStep,$AH17&gt;L$7),IF(COUNTIFS(tblSteps[担当],$AJ17,tblSteps[重複対象],1,tblSteps[開始分],"&lt;"&amp;(L$7+TTStep),tblSteps[終了分],"&gt;"&amp;L$7)-$AK17&gt;0,"重","■"),""))</f>
        <v>■</v>
      </c>
      <c r="M17" s="93" t="str">
        <f>IF(OR($AF17="",M$7=""),"",IF(AND($AI17=1,$AG17&lt;M$7+TTStep,$AH17&gt;M$7),IF(COUNTIFS(tblSteps[担当],$AJ17,tblSteps[重複対象],1,tblSteps[開始分],"&lt;"&amp;(M$7+TTStep),tblSteps[終了分],"&gt;"&amp;M$7)-$AK17&gt;0,"重","■"),""))</f>
        <v>■</v>
      </c>
      <c r="N17" s="93" t="str">
        <f>IF(OR($AF17="",N$7=""),"",IF(AND($AI17=1,$AG17&lt;N$7+TTStep,$AH17&gt;N$7),IF(COUNTIFS(tblSteps[担当],$AJ17,tblSteps[重複対象],1,tblSteps[開始分],"&lt;"&amp;(N$7+TTStep),tblSteps[終了分],"&gt;"&amp;N$7)-$AK17&gt;0,"重","■"),""))</f>
        <v>■</v>
      </c>
      <c r="O17" s="93" t="str">
        <f>IF(OR($AF17="",O$7=""),"",IF(AND($AI17=1,$AG17&lt;O$7+TTStep,$AH17&gt;O$7),IF(COUNTIFS(tblSteps[担当],$AJ17,tblSteps[重複対象],1,tblSteps[開始分],"&lt;"&amp;(O$7+TTStep),tblSteps[終了分],"&gt;"&amp;O$7)-$AK17&gt;0,"重","■"),""))</f>
        <v>■</v>
      </c>
      <c r="P17" s="93" t="str">
        <f>IF(OR($AF17="",P$7=""),"",IF(AND($AI17=1,$AG17&lt;P$7+TTStep,$AH17&gt;P$7),IF(COUNTIFS(tblSteps[担当],$AJ17,tblSteps[重複対象],1,tblSteps[開始分],"&lt;"&amp;(P$7+TTStep),tblSteps[終了分],"&gt;"&amp;P$7)-$AK17&gt;0,"重","■"),""))</f>
        <v>■</v>
      </c>
      <c r="Q17" s="93" t="str">
        <f>IF(OR($AF17="",Q$7=""),"",IF(AND($AI17=1,$AG17&lt;Q$7+TTStep,$AH17&gt;Q$7),IF(COUNTIFS(tblSteps[担当],$AJ17,tblSteps[重複対象],1,tblSteps[開始分],"&lt;"&amp;(Q$7+TTStep),tblSteps[終了分],"&gt;"&amp;Q$7)-$AK17&gt;0,"重","■"),""))</f>
        <v>■</v>
      </c>
      <c r="R17" s="93" t="str">
        <f>IF(OR($AF17="",R$7=""),"",IF(AND($AI17=1,$AG17&lt;R$7+TTStep,$AH17&gt;R$7),IF(COUNTIFS(tblSteps[担当],$AJ17,tblSteps[重複対象],1,tblSteps[開始分],"&lt;"&amp;(R$7+TTStep),tblSteps[終了分],"&gt;"&amp;R$7)-$AK17&gt;0,"重","■"),""))</f>
        <v>■</v>
      </c>
      <c r="S17" s="93" t="str">
        <f>IF(OR($AF17="",S$7=""),"",IF(AND($AI17=1,$AG17&lt;S$7+TTStep,$AH17&gt;S$7),IF(COUNTIFS(tblSteps[担当],$AJ17,tblSteps[重複対象],1,tblSteps[開始分],"&lt;"&amp;(S$7+TTStep),tblSteps[終了分],"&gt;"&amp;S$7)-$AK17&gt;0,"重","■"),""))</f>
        <v>■</v>
      </c>
      <c r="T17" s="93" t="str">
        <f>IF(OR($AF17="",T$7=""),"",IF(AND($AI17=1,$AG17&lt;T$7+TTStep,$AH17&gt;T$7),IF(COUNTIFS(tblSteps[担当],$AJ17,tblSteps[重複対象],1,tblSteps[開始分],"&lt;"&amp;(T$7+TTStep),tblSteps[終了分],"&gt;"&amp;T$7)-$AK17&gt;0,"重","■"),""))</f>
        <v>■</v>
      </c>
      <c r="U17" s="93" t="str">
        <f>IF(OR($AF17="",U$7=""),"",IF(AND($AI17=1,$AG17&lt;U$7+TTStep,$AH17&gt;U$7),IF(COUNTIFS(tblSteps[担当],$AJ17,tblSteps[重複対象],1,tblSteps[開始分],"&lt;"&amp;(U$7+TTStep),tblSteps[終了分],"&gt;"&amp;U$7)-$AK17&gt;0,"重","■"),""))</f>
        <v>■</v>
      </c>
      <c r="V17" s="93" t="str">
        <f>IF(OR($AF17="",V$7=""),"",IF(AND($AI17=1,$AG17&lt;V$7+TTStep,$AH17&gt;V$7),IF(COUNTIFS(tblSteps[担当],$AJ17,tblSteps[重複対象],1,tblSteps[開始分],"&lt;"&amp;(V$7+TTStep),tblSteps[終了分],"&gt;"&amp;V$7)-$AK17&gt;0,"重","■"),""))</f>
        <v>■</v>
      </c>
      <c r="W17" s="93" t="str">
        <f>IF(OR($AF17="",W$7=""),"",IF(AND($AI17=1,$AG17&lt;W$7+TTStep,$AH17&gt;W$7),IF(COUNTIFS(tblSteps[担当],$AJ17,tblSteps[重複対象],1,tblSteps[開始分],"&lt;"&amp;(W$7+TTStep),tblSteps[終了分],"&gt;"&amp;W$7)-$AK17&gt;0,"重","■"),""))</f>
        <v>■</v>
      </c>
      <c r="X17" s="93" t="str">
        <f>IF(OR($AF17="",X$7=""),"",IF(AND($AI17=1,$AG17&lt;X$7+TTStep,$AH17&gt;X$7),IF(COUNTIFS(tblSteps[担当],$AJ17,tblSteps[重複対象],1,tblSteps[開始分],"&lt;"&amp;(X$7+TTStep),tblSteps[終了分],"&gt;"&amp;X$7)-$AK17&gt;0,"重","■"),""))</f>
        <v>■</v>
      </c>
      <c r="Y17" s="93" t="str">
        <f>IF(OR($AF17="",Y$7=""),"",IF(AND($AI17=1,$AG17&lt;Y$7+TTStep,$AH17&gt;Y$7),IF(COUNTIFS(tblSteps[担当],$AJ17,tblSteps[重複対象],1,tblSteps[開始分],"&lt;"&amp;(Y$7+TTStep),tblSteps[終了分],"&gt;"&amp;Y$7)-$AK17&gt;0,"重","■"),""))</f>
        <v>■</v>
      </c>
      <c r="Z17" s="93" t="str">
        <f>IF(OR($AF17="",Z$7=""),"",IF(AND($AI17=1,$AG17&lt;Z$7+TTStep,$AH17&gt;Z$7),IF(COUNTIFS(tblSteps[担当],$AJ17,tblSteps[重複対象],1,tblSteps[開始分],"&lt;"&amp;(Z$7+TTStep),tblSteps[終了分],"&gt;"&amp;Z$7)-$AK17&gt;0,"重","■"),""))</f>
        <v>■</v>
      </c>
      <c r="AA17" s="93" t="str">
        <f>IF(OR($AF17="",AA$7=""),"",IF(AND($AI17=1,$AG17&lt;AA$7+TTStep,$AH17&gt;AA$7),IF(COUNTIFS(tblSteps[担当],$AJ17,tblSteps[重複対象],1,tblSteps[開始分],"&lt;"&amp;(AA$7+TTStep),tblSteps[終了分],"&gt;"&amp;AA$7)-$AK17&gt;0,"重","■"),""))</f>
        <v>■</v>
      </c>
      <c r="AB17" s="93" t="str">
        <f>IF(OR($AF17="",AB$7=""),"",IF(AND($AI17=1,$AG17&lt;AB$7+TTStep,$AH17&gt;AB$7),IF(COUNTIFS(tblSteps[担当],$AJ17,tblSteps[重複対象],1,tblSteps[開始分],"&lt;"&amp;(AB$7+TTStep),tblSteps[終了分],"&gt;"&amp;AB$7)-$AK17&gt;0,"重","■"),""))</f>
        <v>■</v>
      </c>
      <c r="AC17" s="93" t="str">
        <f>IF(OR($AF17="",AC$7=""),"",IF(AND($AI17=1,$AG17&lt;AC$7+TTStep,$AH17&gt;AC$7),IF(COUNTIFS(tblSteps[担当],$AJ17,tblSteps[重複対象],1,tblSteps[開始分],"&lt;"&amp;(AC$7+TTStep),tblSteps[終了分],"&gt;"&amp;AC$7)-$AK17&gt;0,"重","■"),""))</f>
        <v>■</v>
      </c>
      <c r="AD17" s="93" t="str">
        <f>IF(OR($AF17="",AD$7=""),"",IF(AND($AI17=1,$AG17&lt;AD$7+TTStep,$AH17&gt;AD$7),IF(COUNTIFS(tblSteps[担当],$AJ17,tblSteps[重複対象],1,tblSteps[開始分],"&lt;"&amp;(AD$7+TTStep),tblSteps[終了分],"&gt;"&amp;AD$7)-$AK17&gt;0,"重","■"),""))</f>
        <v>■</v>
      </c>
      <c r="AF17">
        <f>IF(10&gt;COUNTIF(tblSteps[時間割対象],1),"",IFERROR(MATCH(10,tblSteps[時間割順位],0),""))</f>
        <v>11</v>
      </c>
      <c r="AG17">
        <f>IF($AF17="","",INDEX(tblSteps[開始分],$AF17))</f>
        <v>66652380</v>
      </c>
      <c r="AH17">
        <f>IF($AF17="","",INDEX(tblSteps[終了分],$AF17))</f>
        <v>66678840</v>
      </c>
      <c r="AI17">
        <f>IF($AF17="","",INDEX(tblSteps[時刻OK],$AF17))</f>
        <v>1</v>
      </c>
      <c r="AJ17" t="str">
        <f>IF($AF17="","",INDEX(tblSteps[担当],$AF17))</f>
        <v>協力会社C</v>
      </c>
      <c r="AK17">
        <f>IF($AF17="","",INDEX(tblSteps[重複対象],$AF17))</f>
        <v>1</v>
      </c>
      <c r="AL17" t="str">
        <f>IF($AF17="","",INDEX(tblSteps[案件ID],$AF17))</f>
        <v>A0021</v>
      </c>
    </row>
    <row r="18" ht="20" customHeight="1">
      <c r="A18" s="89" t="str">
        <f>IF($AF18="","",INDEX(tblSteps[工程ID],$AF18)&amp;"")</f>
        <v/>
      </c>
      <c r="B18" s="88" t="str">
        <f>IF($AF18="","",$AL18&amp;" "&amp;INDEX(tblSteps[案件名],$AF18))</f>
        <v/>
      </c>
      <c r="C18" s="88" t="str">
        <f>IF($AF18="","",INDEX(tblSteps[工程名],$AF18)&amp;"")</f>
        <v/>
      </c>
      <c r="D18" s="89" t="str">
        <f>IF($AF18="","",$AJ18&amp;"")</f>
        <v/>
      </c>
      <c r="E18" s="103" t="str">
        <f>IF($AF18="","",IF($AI18=1,$AG18/1440,INDEX(tblSteps[計画開始日],$AF18)))</f>
        <v/>
      </c>
      <c r="F18" s="103" t="str">
        <f>IF($AF18="","",IF($AI18=1,$AH18/1440,INDEX(tblSteps[計画終了日],$AF18)))</f>
        <v/>
      </c>
      <c r="G18" s="89" t="str">
        <f>IF($AF18="","",INDEX(tblSteps[状態],$AF18)&amp;"")</f>
        <v/>
      </c>
      <c r="H18" s="92" t="str">
        <f>IF($AF18="","",_xlfn.TEXTJOIN("／",TRUE,IF($AI18=0,"終了日時が開始日時以前",""),IF(AND($AI18=1,OR($AH18&lt;=TTDate*1440+ROUND(TTStart*1440,0),$AG18&gt;=TTDate*1440+ROUND(TTEnd*1440,0))),"表示時間外",""),IF(AND($AI18=1,$AG18&lt;TTDate*1440),"前日から継続",""),IF(AND($AI18=1,$AH18&gt;TTDate*1440+1440),"翌日へ継続",""),IF(INDEX(tblSteps[重複数],$AF18)&gt;0,"予定重複の可能性","")))</f>
        <v/>
      </c>
      <c r="I18" s="93" t="str">
        <f>IF(OR($AF18="",I$7=""),"",IF(AND($AI18=1,$AG18&lt;I$7+TTStep,$AH18&gt;I$7),IF(COUNTIFS(tblSteps[担当],$AJ18,tblSteps[重複対象],1,tblSteps[開始分],"&lt;"&amp;(I$7+TTStep),tblSteps[終了分],"&gt;"&amp;I$7)-$AK18&gt;0,"重","■"),""))</f>
        <v/>
      </c>
      <c r="J18" s="93" t="str">
        <f>IF(OR($AF18="",J$7=""),"",IF(AND($AI18=1,$AG18&lt;J$7+TTStep,$AH18&gt;J$7),IF(COUNTIFS(tblSteps[担当],$AJ18,tblSteps[重複対象],1,tblSteps[開始分],"&lt;"&amp;(J$7+TTStep),tblSteps[終了分],"&gt;"&amp;J$7)-$AK18&gt;0,"重","■"),""))</f>
        <v/>
      </c>
      <c r="K18" s="93" t="str">
        <f>IF(OR($AF18="",K$7=""),"",IF(AND($AI18=1,$AG18&lt;K$7+TTStep,$AH18&gt;K$7),IF(COUNTIFS(tblSteps[担当],$AJ18,tblSteps[重複対象],1,tblSteps[開始分],"&lt;"&amp;(K$7+TTStep),tblSteps[終了分],"&gt;"&amp;K$7)-$AK18&gt;0,"重","■"),""))</f>
        <v/>
      </c>
      <c r="L18" s="93" t="str">
        <f>IF(OR($AF18="",L$7=""),"",IF(AND($AI18=1,$AG18&lt;L$7+TTStep,$AH18&gt;L$7),IF(COUNTIFS(tblSteps[担当],$AJ18,tblSteps[重複対象],1,tblSteps[開始分],"&lt;"&amp;(L$7+TTStep),tblSteps[終了分],"&gt;"&amp;L$7)-$AK18&gt;0,"重","■"),""))</f>
        <v/>
      </c>
      <c r="M18" s="93" t="str">
        <f>IF(OR($AF18="",M$7=""),"",IF(AND($AI18=1,$AG18&lt;M$7+TTStep,$AH18&gt;M$7),IF(COUNTIFS(tblSteps[担当],$AJ18,tblSteps[重複対象],1,tblSteps[開始分],"&lt;"&amp;(M$7+TTStep),tblSteps[終了分],"&gt;"&amp;M$7)-$AK18&gt;0,"重","■"),""))</f>
        <v/>
      </c>
      <c r="N18" s="93" t="str">
        <f>IF(OR($AF18="",N$7=""),"",IF(AND($AI18=1,$AG18&lt;N$7+TTStep,$AH18&gt;N$7),IF(COUNTIFS(tblSteps[担当],$AJ18,tblSteps[重複対象],1,tblSteps[開始分],"&lt;"&amp;(N$7+TTStep),tblSteps[終了分],"&gt;"&amp;N$7)-$AK18&gt;0,"重","■"),""))</f>
        <v/>
      </c>
      <c r="O18" s="93" t="str">
        <f>IF(OR($AF18="",O$7=""),"",IF(AND($AI18=1,$AG18&lt;O$7+TTStep,$AH18&gt;O$7),IF(COUNTIFS(tblSteps[担当],$AJ18,tblSteps[重複対象],1,tblSteps[開始分],"&lt;"&amp;(O$7+TTStep),tblSteps[終了分],"&gt;"&amp;O$7)-$AK18&gt;0,"重","■"),""))</f>
        <v/>
      </c>
      <c r="P18" s="93" t="str">
        <f>IF(OR($AF18="",P$7=""),"",IF(AND($AI18=1,$AG18&lt;P$7+TTStep,$AH18&gt;P$7),IF(COUNTIFS(tblSteps[担当],$AJ18,tblSteps[重複対象],1,tblSteps[開始分],"&lt;"&amp;(P$7+TTStep),tblSteps[終了分],"&gt;"&amp;P$7)-$AK18&gt;0,"重","■"),""))</f>
        <v/>
      </c>
      <c r="Q18" s="93" t="str">
        <f>IF(OR($AF18="",Q$7=""),"",IF(AND($AI18=1,$AG18&lt;Q$7+TTStep,$AH18&gt;Q$7),IF(COUNTIFS(tblSteps[担当],$AJ18,tblSteps[重複対象],1,tblSteps[開始分],"&lt;"&amp;(Q$7+TTStep),tblSteps[終了分],"&gt;"&amp;Q$7)-$AK18&gt;0,"重","■"),""))</f>
        <v/>
      </c>
      <c r="R18" s="93" t="str">
        <f>IF(OR($AF18="",R$7=""),"",IF(AND($AI18=1,$AG18&lt;R$7+TTStep,$AH18&gt;R$7),IF(COUNTIFS(tblSteps[担当],$AJ18,tblSteps[重複対象],1,tblSteps[開始分],"&lt;"&amp;(R$7+TTStep),tblSteps[終了分],"&gt;"&amp;R$7)-$AK18&gt;0,"重","■"),""))</f>
        <v/>
      </c>
      <c r="S18" s="93" t="str">
        <f>IF(OR($AF18="",S$7=""),"",IF(AND($AI18=1,$AG18&lt;S$7+TTStep,$AH18&gt;S$7),IF(COUNTIFS(tblSteps[担当],$AJ18,tblSteps[重複対象],1,tblSteps[開始分],"&lt;"&amp;(S$7+TTStep),tblSteps[終了分],"&gt;"&amp;S$7)-$AK18&gt;0,"重","■"),""))</f>
        <v/>
      </c>
      <c r="T18" s="93" t="str">
        <f>IF(OR($AF18="",T$7=""),"",IF(AND($AI18=1,$AG18&lt;T$7+TTStep,$AH18&gt;T$7),IF(COUNTIFS(tblSteps[担当],$AJ18,tblSteps[重複対象],1,tblSteps[開始分],"&lt;"&amp;(T$7+TTStep),tblSteps[終了分],"&gt;"&amp;T$7)-$AK18&gt;0,"重","■"),""))</f>
        <v/>
      </c>
      <c r="U18" s="93" t="str">
        <f>IF(OR($AF18="",U$7=""),"",IF(AND($AI18=1,$AG18&lt;U$7+TTStep,$AH18&gt;U$7),IF(COUNTIFS(tblSteps[担当],$AJ18,tblSteps[重複対象],1,tblSteps[開始分],"&lt;"&amp;(U$7+TTStep),tblSteps[終了分],"&gt;"&amp;U$7)-$AK18&gt;0,"重","■"),""))</f>
        <v/>
      </c>
      <c r="V18" s="93" t="str">
        <f>IF(OR($AF18="",V$7=""),"",IF(AND($AI18=1,$AG18&lt;V$7+TTStep,$AH18&gt;V$7),IF(COUNTIFS(tblSteps[担当],$AJ18,tblSteps[重複対象],1,tblSteps[開始分],"&lt;"&amp;(V$7+TTStep),tblSteps[終了分],"&gt;"&amp;V$7)-$AK18&gt;0,"重","■"),""))</f>
        <v/>
      </c>
      <c r="W18" s="93" t="str">
        <f>IF(OR($AF18="",W$7=""),"",IF(AND($AI18=1,$AG18&lt;W$7+TTStep,$AH18&gt;W$7),IF(COUNTIFS(tblSteps[担当],$AJ18,tblSteps[重複対象],1,tblSteps[開始分],"&lt;"&amp;(W$7+TTStep),tblSteps[終了分],"&gt;"&amp;W$7)-$AK18&gt;0,"重","■"),""))</f>
        <v/>
      </c>
      <c r="X18" s="93" t="str">
        <f>IF(OR($AF18="",X$7=""),"",IF(AND($AI18=1,$AG18&lt;X$7+TTStep,$AH18&gt;X$7),IF(COUNTIFS(tblSteps[担当],$AJ18,tblSteps[重複対象],1,tblSteps[開始分],"&lt;"&amp;(X$7+TTStep),tblSteps[終了分],"&gt;"&amp;X$7)-$AK18&gt;0,"重","■"),""))</f>
        <v/>
      </c>
      <c r="Y18" s="93" t="str">
        <f>IF(OR($AF18="",Y$7=""),"",IF(AND($AI18=1,$AG18&lt;Y$7+TTStep,$AH18&gt;Y$7),IF(COUNTIFS(tblSteps[担当],$AJ18,tblSteps[重複対象],1,tblSteps[開始分],"&lt;"&amp;(Y$7+TTStep),tblSteps[終了分],"&gt;"&amp;Y$7)-$AK18&gt;0,"重","■"),""))</f>
        <v/>
      </c>
      <c r="Z18" s="93" t="str">
        <f>IF(OR($AF18="",Z$7=""),"",IF(AND($AI18=1,$AG18&lt;Z$7+TTStep,$AH18&gt;Z$7),IF(COUNTIFS(tblSteps[担当],$AJ18,tblSteps[重複対象],1,tblSteps[開始分],"&lt;"&amp;(Z$7+TTStep),tblSteps[終了分],"&gt;"&amp;Z$7)-$AK18&gt;0,"重","■"),""))</f>
        <v/>
      </c>
      <c r="AA18" s="93" t="str">
        <f>IF(OR($AF18="",AA$7=""),"",IF(AND($AI18=1,$AG18&lt;AA$7+TTStep,$AH18&gt;AA$7),IF(COUNTIFS(tblSteps[担当],$AJ18,tblSteps[重複対象],1,tblSteps[開始分],"&lt;"&amp;(AA$7+TTStep),tblSteps[終了分],"&gt;"&amp;AA$7)-$AK18&gt;0,"重","■"),""))</f>
        <v/>
      </c>
      <c r="AB18" s="93" t="str">
        <f>IF(OR($AF18="",AB$7=""),"",IF(AND($AI18=1,$AG18&lt;AB$7+TTStep,$AH18&gt;AB$7),IF(COUNTIFS(tblSteps[担当],$AJ18,tblSteps[重複対象],1,tblSteps[開始分],"&lt;"&amp;(AB$7+TTStep),tblSteps[終了分],"&gt;"&amp;AB$7)-$AK18&gt;0,"重","■"),""))</f>
        <v/>
      </c>
      <c r="AC18" s="93" t="str">
        <f>IF(OR($AF18="",AC$7=""),"",IF(AND($AI18=1,$AG18&lt;AC$7+TTStep,$AH18&gt;AC$7),IF(COUNTIFS(tblSteps[担当],$AJ18,tblSteps[重複対象],1,tblSteps[開始分],"&lt;"&amp;(AC$7+TTStep),tblSteps[終了分],"&gt;"&amp;AC$7)-$AK18&gt;0,"重","■"),""))</f>
        <v/>
      </c>
      <c r="AD18" s="93" t="str">
        <f>IF(OR($AF18="",AD$7=""),"",IF(AND($AI18=1,$AG18&lt;AD$7+TTStep,$AH18&gt;AD$7),IF(COUNTIFS(tblSteps[担当],$AJ18,tblSteps[重複対象],1,tblSteps[開始分],"&lt;"&amp;(AD$7+TTStep),tblSteps[終了分],"&gt;"&amp;AD$7)-$AK18&gt;0,"重","■"),""))</f>
        <v/>
      </c>
      <c r="AF18" t="str">
        <f>IF(11&gt;COUNTIF(tblSteps[時間割対象],1),"",IFERROR(MATCH(11,tblSteps[時間割順位],0),""))</f>
        <v/>
      </c>
      <c r="AG18" t="str">
        <f>IF($AF18="","",INDEX(tblSteps[開始分],$AF18))</f>
        <v/>
      </c>
      <c r="AH18" t="str">
        <f>IF($AF18="","",INDEX(tblSteps[終了分],$AF18))</f>
        <v/>
      </c>
      <c r="AI18" t="str">
        <f>IF($AF18="","",INDEX(tblSteps[時刻OK],$AF18))</f>
        <v/>
      </c>
      <c r="AJ18" t="str">
        <f>IF($AF18="","",INDEX(tblSteps[担当],$AF18))</f>
        <v/>
      </c>
      <c r="AK18" t="str">
        <f>IF($AF18="","",INDEX(tblSteps[重複対象],$AF18))</f>
        <v/>
      </c>
      <c r="AL18" t="str">
        <f>IF($AF18="","",INDEX(tblSteps[案件ID],$AF18))</f>
        <v/>
      </c>
    </row>
    <row r="19" ht="20" customHeight="1">
      <c r="A19" s="89" t="str">
        <f>IF($AF19="","",INDEX(tblSteps[工程ID],$AF19)&amp;"")</f>
        <v/>
      </c>
      <c r="B19" s="88" t="str">
        <f>IF($AF19="","",$AL19&amp;" "&amp;INDEX(tblSteps[案件名],$AF19))</f>
        <v/>
      </c>
      <c r="C19" s="88" t="str">
        <f>IF($AF19="","",INDEX(tblSteps[工程名],$AF19)&amp;"")</f>
        <v/>
      </c>
      <c r="D19" s="89" t="str">
        <f>IF($AF19="","",$AJ19&amp;"")</f>
        <v/>
      </c>
      <c r="E19" s="103" t="str">
        <f>IF($AF19="","",IF($AI19=1,$AG19/1440,INDEX(tblSteps[計画開始日],$AF19)))</f>
        <v/>
      </c>
      <c r="F19" s="103" t="str">
        <f>IF($AF19="","",IF($AI19=1,$AH19/1440,INDEX(tblSteps[計画終了日],$AF19)))</f>
        <v/>
      </c>
      <c r="G19" s="89" t="str">
        <f>IF($AF19="","",INDEX(tblSteps[状態],$AF19)&amp;"")</f>
        <v/>
      </c>
      <c r="H19" s="92" t="str">
        <f>IF($AF19="","",_xlfn.TEXTJOIN("／",TRUE,IF($AI19=0,"終了日時が開始日時以前",""),IF(AND($AI19=1,OR($AH19&lt;=TTDate*1440+ROUND(TTStart*1440,0),$AG19&gt;=TTDate*1440+ROUND(TTEnd*1440,0))),"表示時間外",""),IF(AND($AI19=1,$AG19&lt;TTDate*1440),"前日から継続",""),IF(AND($AI19=1,$AH19&gt;TTDate*1440+1440),"翌日へ継続",""),IF(INDEX(tblSteps[重複数],$AF19)&gt;0,"予定重複の可能性","")))</f>
        <v/>
      </c>
      <c r="I19" s="93" t="str">
        <f>IF(OR($AF19="",I$7=""),"",IF(AND($AI19=1,$AG19&lt;I$7+TTStep,$AH19&gt;I$7),IF(COUNTIFS(tblSteps[担当],$AJ19,tblSteps[重複対象],1,tblSteps[開始分],"&lt;"&amp;(I$7+TTStep),tblSteps[終了分],"&gt;"&amp;I$7)-$AK19&gt;0,"重","■"),""))</f>
        <v/>
      </c>
      <c r="J19" s="93" t="str">
        <f>IF(OR($AF19="",J$7=""),"",IF(AND($AI19=1,$AG19&lt;J$7+TTStep,$AH19&gt;J$7),IF(COUNTIFS(tblSteps[担当],$AJ19,tblSteps[重複対象],1,tblSteps[開始分],"&lt;"&amp;(J$7+TTStep),tblSteps[終了分],"&gt;"&amp;J$7)-$AK19&gt;0,"重","■"),""))</f>
        <v/>
      </c>
      <c r="K19" s="93" t="str">
        <f>IF(OR($AF19="",K$7=""),"",IF(AND($AI19=1,$AG19&lt;K$7+TTStep,$AH19&gt;K$7),IF(COUNTIFS(tblSteps[担当],$AJ19,tblSteps[重複対象],1,tblSteps[開始分],"&lt;"&amp;(K$7+TTStep),tblSteps[終了分],"&gt;"&amp;K$7)-$AK19&gt;0,"重","■"),""))</f>
        <v/>
      </c>
      <c r="L19" s="93" t="str">
        <f>IF(OR($AF19="",L$7=""),"",IF(AND($AI19=1,$AG19&lt;L$7+TTStep,$AH19&gt;L$7),IF(COUNTIFS(tblSteps[担当],$AJ19,tblSteps[重複対象],1,tblSteps[開始分],"&lt;"&amp;(L$7+TTStep),tblSteps[終了分],"&gt;"&amp;L$7)-$AK19&gt;0,"重","■"),""))</f>
        <v/>
      </c>
      <c r="M19" s="93" t="str">
        <f>IF(OR($AF19="",M$7=""),"",IF(AND($AI19=1,$AG19&lt;M$7+TTStep,$AH19&gt;M$7),IF(COUNTIFS(tblSteps[担当],$AJ19,tblSteps[重複対象],1,tblSteps[開始分],"&lt;"&amp;(M$7+TTStep),tblSteps[終了分],"&gt;"&amp;M$7)-$AK19&gt;0,"重","■"),""))</f>
        <v/>
      </c>
      <c r="N19" s="93" t="str">
        <f>IF(OR($AF19="",N$7=""),"",IF(AND($AI19=1,$AG19&lt;N$7+TTStep,$AH19&gt;N$7),IF(COUNTIFS(tblSteps[担当],$AJ19,tblSteps[重複対象],1,tblSteps[開始分],"&lt;"&amp;(N$7+TTStep),tblSteps[終了分],"&gt;"&amp;N$7)-$AK19&gt;0,"重","■"),""))</f>
        <v/>
      </c>
      <c r="O19" s="93" t="str">
        <f>IF(OR($AF19="",O$7=""),"",IF(AND($AI19=1,$AG19&lt;O$7+TTStep,$AH19&gt;O$7),IF(COUNTIFS(tblSteps[担当],$AJ19,tblSteps[重複対象],1,tblSteps[開始分],"&lt;"&amp;(O$7+TTStep),tblSteps[終了分],"&gt;"&amp;O$7)-$AK19&gt;0,"重","■"),""))</f>
        <v/>
      </c>
      <c r="P19" s="93" t="str">
        <f>IF(OR($AF19="",P$7=""),"",IF(AND($AI19=1,$AG19&lt;P$7+TTStep,$AH19&gt;P$7),IF(COUNTIFS(tblSteps[担当],$AJ19,tblSteps[重複対象],1,tblSteps[開始分],"&lt;"&amp;(P$7+TTStep),tblSteps[終了分],"&gt;"&amp;P$7)-$AK19&gt;0,"重","■"),""))</f>
        <v/>
      </c>
      <c r="Q19" s="93" t="str">
        <f>IF(OR($AF19="",Q$7=""),"",IF(AND($AI19=1,$AG19&lt;Q$7+TTStep,$AH19&gt;Q$7),IF(COUNTIFS(tblSteps[担当],$AJ19,tblSteps[重複対象],1,tblSteps[開始分],"&lt;"&amp;(Q$7+TTStep),tblSteps[終了分],"&gt;"&amp;Q$7)-$AK19&gt;0,"重","■"),""))</f>
        <v/>
      </c>
      <c r="R19" s="93" t="str">
        <f>IF(OR($AF19="",R$7=""),"",IF(AND($AI19=1,$AG19&lt;R$7+TTStep,$AH19&gt;R$7),IF(COUNTIFS(tblSteps[担当],$AJ19,tblSteps[重複対象],1,tblSteps[開始分],"&lt;"&amp;(R$7+TTStep),tblSteps[終了分],"&gt;"&amp;R$7)-$AK19&gt;0,"重","■"),""))</f>
        <v/>
      </c>
      <c r="S19" s="93" t="str">
        <f>IF(OR($AF19="",S$7=""),"",IF(AND($AI19=1,$AG19&lt;S$7+TTStep,$AH19&gt;S$7),IF(COUNTIFS(tblSteps[担当],$AJ19,tblSteps[重複対象],1,tblSteps[開始分],"&lt;"&amp;(S$7+TTStep),tblSteps[終了分],"&gt;"&amp;S$7)-$AK19&gt;0,"重","■"),""))</f>
        <v/>
      </c>
      <c r="T19" s="93" t="str">
        <f>IF(OR($AF19="",T$7=""),"",IF(AND($AI19=1,$AG19&lt;T$7+TTStep,$AH19&gt;T$7),IF(COUNTIFS(tblSteps[担当],$AJ19,tblSteps[重複対象],1,tblSteps[開始分],"&lt;"&amp;(T$7+TTStep),tblSteps[終了分],"&gt;"&amp;T$7)-$AK19&gt;0,"重","■"),""))</f>
        <v/>
      </c>
      <c r="U19" s="93" t="str">
        <f>IF(OR($AF19="",U$7=""),"",IF(AND($AI19=1,$AG19&lt;U$7+TTStep,$AH19&gt;U$7),IF(COUNTIFS(tblSteps[担当],$AJ19,tblSteps[重複対象],1,tblSteps[開始分],"&lt;"&amp;(U$7+TTStep),tblSteps[終了分],"&gt;"&amp;U$7)-$AK19&gt;0,"重","■"),""))</f>
        <v/>
      </c>
      <c r="V19" s="93" t="str">
        <f>IF(OR($AF19="",V$7=""),"",IF(AND($AI19=1,$AG19&lt;V$7+TTStep,$AH19&gt;V$7),IF(COUNTIFS(tblSteps[担当],$AJ19,tblSteps[重複対象],1,tblSteps[開始分],"&lt;"&amp;(V$7+TTStep),tblSteps[終了分],"&gt;"&amp;V$7)-$AK19&gt;0,"重","■"),""))</f>
        <v/>
      </c>
      <c r="W19" s="93" t="str">
        <f>IF(OR($AF19="",W$7=""),"",IF(AND($AI19=1,$AG19&lt;W$7+TTStep,$AH19&gt;W$7),IF(COUNTIFS(tblSteps[担当],$AJ19,tblSteps[重複対象],1,tblSteps[開始分],"&lt;"&amp;(W$7+TTStep),tblSteps[終了分],"&gt;"&amp;W$7)-$AK19&gt;0,"重","■"),""))</f>
        <v/>
      </c>
      <c r="X19" s="93" t="str">
        <f>IF(OR($AF19="",X$7=""),"",IF(AND($AI19=1,$AG19&lt;X$7+TTStep,$AH19&gt;X$7),IF(COUNTIFS(tblSteps[担当],$AJ19,tblSteps[重複対象],1,tblSteps[開始分],"&lt;"&amp;(X$7+TTStep),tblSteps[終了分],"&gt;"&amp;X$7)-$AK19&gt;0,"重","■"),""))</f>
        <v/>
      </c>
      <c r="Y19" s="93" t="str">
        <f>IF(OR($AF19="",Y$7=""),"",IF(AND($AI19=1,$AG19&lt;Y$7+TTStep,$AH19&gt;Y$7),IF(COUNTIFS(tblSteps[担当],$AJ19,tblSteps[重複対象],1,tblSteps[開始分],"&lt;"&amp;(Y$7+TTStep),tblSteps[終了分],"&gt;"&amp;Y$7)-$AK19&gt;0,"重","■"),""))</f>
        <v/>
      </c>
      <c r="Z19" s="93" t="str">
        <f>IF(OR($AF19="",Z$7=""),"",IF(AND($AI19=1,$AG19&lt;Z$7+TTStep,$AH19&gt;Z$7),IF(COUNTIFS(tblSteps[担当],$AJ19,tblSteps[重複対象],1,tblSteps[開始分],"&lt;"&amp;(Z$7+TTStep),tblSteps[終了分],"&gt;"&amp;Z$7)-$AK19&gt;0,"重","■"),""))</f>
        <v/>
      </c>
      <c r="AA19" s="93" t="str">
        <f>IF(OR($AF19="",AA$7=""),"",IF(AND($AI19=1,$AG19&lt;AA$7+TTStep,$AH19&gt;AA$7),IF(COUNTIFS(tblSteps[担当],$AJ19,tblSteps[重複対象],1,tblSteps[開始分],"&lt;"&amp;(AA$7+TTStep),tblSteps[終了分],"&gt;"&amp;AA$7)-$AK19&gt;0,"重","■"),""))</f>
        <v/>
      </c>
      <c r="AB19" s="93" t="str">
        <f>IF(OR($AF19="",AB$7=""),"",IF(AND($AI19=1,$AG19&lt;AB$7+TTStep,$AH19&gt;AB$7),IF(COUNTIFS(tblSteps[担当],$AJ19,tblSteps[重複対象],1,tblSteps[開始分],"&lt;"&amp;(AB$7+TTStep),tblSteps[終了分],"&gt;"&amp;AB$7)-$AK19&gt;0,"重","■"),""))</f>
        <v/>
      </c>
      <c r="AC19" s="93" t="str">
        <f>IF(OR($AF19="",AC$7=""),"",IF(AND($AI19=1,$AG19&lt;AC$7+TTStep,$AH19&gt;AC$7),IF(COUNTIFS(tblSteps[担当],$AJ19,tblSteps[重複対象],1,tblSteps[開始分],"&lt;"&amp;(AC$7+TTStep),tblSteps[終了分],"&gt;"&amp;AC$7)-$AK19&gt;0,"重","■"),""))</f>
        <v/>
      </c>
      <c r="AD19" s="93" t="str">
        <f>IF(OR($AF19="",AD$7=""),"",IF(AND($AI19=1,$AG19&lt;AD$7+TTStep,$AH19&gt;AD$7),IF(COUNTIFS(tblSteps[担当],$AJ19,tblSteps[重複対象],1,tblSteps[開始分],"&lt;"&amp;(AD$7+TTStep),tblSteps[終了分],"&gt;"&amp;AD$7)-$AK19&gt;0,"重","■"),""))</f>
        <v/>
      </c>
      <c r="AF19" t="str">
        <f>IF(12&gt;COUNTIF(tblSteps[時間割対象],1),"",IFERROR(MATCH(12,tblSteps[時間割順位],0),""))</f>
        <v/>
      </c>
      <c r="AG19" t="str">
        <f>IF($AF19="","",INDEX(tblSteps[開始分],$AF19))</f>
        <v/>
      </c>
      <c r="AH19" t="str">
        <f>IF($AF19="","",INDEX(tblSteps[終了分],$AF19))</f>
        <v/>
      </c>
      <c r="AI19" t="str">
        <f>IF($AF19="","",INDEX(tblSteps[時刻OK],$AF19))</f>
        <v/>
      </c>
      <c r="AJ19" t="str">
        <f>IF($AF19="","",INDEX(tblSteps[担当],$AF19))</f>
        <v/>
      </c>
      <c r="AK19" t="str">
        <f>IF($AF19="","",INDEX(tblSteps[重複対象],$AF19))</f>
        <v/>
      </c>
      <c r="AL19" t="str">
        <f>IF($AF19="","",INDEX(tblSteps[案件ID],$AF19))</f>
        <v/>
      </c>
    </row>
    <row r="20" ht="20" customHeight="1">
      <c r="A20" s="89" t="str">
        <f>IF($AF20="","",INDEX(tblSteps[工程ID],$AF20)&amp;"")</f>
        <v/>
      </c>
      <c r="B20" s="88" t="str">
        <f>IF($AF20="","",$AL20&amp;" "&amp;INDEX(tblSteps[案件名],$AF20))</f>
        <v/>
      </c>
      <c r="C20" s="88" t="str">
        <f>IF($AF20="","",INDEX(tblSteps[工程名],$AF20)&amp;"")</f>
        <v/>
      </c>
      <c r="D20" s="89" t="str">
        <f>IF($AF20="","",$AJ20&amp;"")</f>
        <v/>
      </c>
      <c r="E20" s="103" t="str">
        <f>IF($AF20="","",IF($AI20=1,$AG20/1440,INDEX(tblSteps[計画開始日],$AF20)))</f>
        <v/>
      </c>
      <c r="F20" s="103" t="str">
        <f>IF($AF20="","",IF($AI20=1,$AH20/1440,INDEX(tblSteps[計画終了日],$AF20)))</f>
        <v/>
      </c>
      <c r="G20" s="89" t="str">
        <f>IF($AF20="","",INDEX(tblSteps[状態],$AF20)&amp;"")</f>
        <v/>
      </c>
      <c r="H20" s="92" t="str">
        <f>IF($AF20="","",_xlfn.TEXTJOIN("／",TRUE,IF($AI20=0,"終了日時が開始日時以前",""),IF(AND($AI20=1,OR($AH20&lt;=TTDate*1440+ROUND(TTStart*1440,0),$AG20&gt;=TTDate*1440+ROUND(TTEnd*1440,0))),"表示時間外",""),IF(AND($AI20=1,$AG20&lt;TTDate*1440),"前日から継続",""),IF(AND($AI20=1,$AH20&gt;TTDate*1440+1440),"翌日へ継続",""),IF(INDEX(tblSteps[重複数],$AF20)&gt;0,"予定重複の可能性","")))</f>
        <v/>
      </c>
      <c r="I20" s="93" t="str">
        <f>IF(OR($AF20="",I$7=""),"",IF(AND($AI20=1,$AG20&lt;I$7+TTStep,$AH20&gt;I$7),IF(COUNTIFS(tblSteps[担当],$AJ20,tblSteps[重複対象],1,tblSteps[開始分],"&lt;"&amp;(I$7+TTStep),tblSteps[終了分],"&gt;"&amp;I$7)-$AK20&gt;0,"重","■"),""))</f>
        <v/>
      </c>
      <c r="J20" s="93" t="str">
        <f>IF(OR($AF20="",J$7=""),"",IF(AND($AI20=1,$AG20&lt;J$7+TTStep,$AH20&gt;J$7),IF(COUNTIFS(tblSteps[担当],$AJ20,tblSteps[重複対象],1,tblSteps[開始分],"&lt;"&amp;(J$7+TTStep),tblSteps[終了分],"&gt;"&amp;J$7)-$AK20&gt;0,"重","■"),""))</f>
        <v/>
      </c>
      <c r="K20" s="93" t="str">
        <f>IF(OR($AF20="",K$7=""),"",IF(AND($AI20=1,$AG20&lt;K$7+TTStep,$AH20&gt;K$7),IF(COUNTIFS(tblSteps[担当],$AJ20,tblSteps[重複対象],1,tblSteps[開始分],"&lt;"&amp;(K$7+TTStep),tblSteps[終了分],"&gt;"&amp;K$7)-$AK20&gt;0,"重","■"),""))</f>
        <v/>
      </c>
      <c r="L20" s="93" t="str">
        <f>IF(OR($AF20="",L$7=""),"",IF(AND($AI20=1,$AG20&lt;L$7+TTStep,$AH20&gt;L$7),IF(COUNTIFS(tblSteps[担当],$AJ20,tblSteps[重複対象],1,tblSteps[開始分],"&lt;"&amp;(L$7+TTStep),tblSteps[終了分],"&gt;"&amp;L$7)-$AK20&gt;0,"重","■"),""))</f>
        <v/>
      </c>
      <c r="M20" s="93" t="str">
        <f>IF(OR($AF20="",M$7=""),"",IF(AND($AI20=1,$AG20&lt;M$7+TTStep,$AH20&gt;M$7),IF(COUNTIFS(tblSteps[担当],$AJ20,tblSteps[重複対象],1,tblSteps[開始分],"&lt;"&amp;(M$7+TTStep),tblSteps[終了分],"&gt;"&amp;M$7)-$AK20&gt;0,"重","■"),""))</f>
        <v/>
      </c>
      <c r="N20" s="93" t="str">
        <f>IF(OR($AF20="",N$7=""),"",IF(AND($AI20=1,$AG20&lt;N$7+TTStep,$AH20&gt;N$7),IF(COUNTIFS(tblSteps[担当],$AJ20,tblSteps[重複対象],1,tblSteps[開始分],"&lt;"&amp;(N$7+TTStep),tblSteps[終了分],"&gt;"&amp;N$7)-$AK20&gt;0,"重","■"),""))</f>
        <v/>
      </c>
      <c r="O20" s="93" t="str">
        <f>IF(OR($AF20="",O$7=""),"",IF(AND($AI20=1,$AG20&lt;O$7+TTStep,$AH20&gt;O$7),IF(COUNTIFS(tblSteps[担当],$AJ20,tblSteps[重複対象],1,tblSteps[開始分],"&lt;"&amp;(O$7+TTStep),tblSteps[終了分],"&gt;"&amp;O$7)-$AK20&gt;0,"重","■"),""))</f>
        <v/>
      </c>
      <c r="P20" s="93" t="str">
        <f>IF(OR($AF20="",P$7=""),"",IF(AND($AI20=1,$AG20&lt;P$7+TTStep,$AH20&gt;P$7),IF(COUNTIFS(tblSteps[担当],$AJ20,tblSteps[重複対象],1,tblSteps[開始分],"&lt;"&amp;(P$7+TTStep),tblSteps[終了分],"&gt;"&amp;P$7)-$AK20&gt;0,"重","■"),""))</f>
        <v/>
      </c>
      <c r="Q20" s="93" t="str">
        <f>IF(OR($AF20="",Q$7=""),"",IF(AND($AI20=1,$AG20&lt;Q$7+TTStep,$AH20&gt;Q$7),IF(COUNTIFS(tblSteps[担当],$AJ20,tblSteps[重複対象],1,tblSteps[開始分],"&lt;"&amp;(Q$7+TTStep),tblSteps[終了分],"&gt;"&amp;Q$7)-$AK20&gt;0,"重","■"),""))</f>
        <v/>
      </c>
      <c r="R20" s="93" t="str">
        <f>IF(OR($AF20="",R$7=""),"",IF(AND($AI20=1,$AG20&lt;R$7+TTStep,$AH20&gt;R$7),IF(COUNTIFS(tblSteps[担当],$AJ20,tblSteps[重複対象],1,tblSteps[開始分],"&lt;"&amp;(R$7+TTStep),tblSteps[終了分],"&gt;"&amp;R$7)-$AK20&gt;0,"重","■"),""))</f>
        <v/>
      </c>
      <c r="S20" s="93" t="str">
        <f>IF(OR($AF20="",S$7=""),"",IF(AND($AI20=1,$AG20&lt;S$7+TTStep,$AH20&gt;S$7),IF(COUNTIFS(tblSteps[担当],$AJ20,tblSteps[重複対象],1,tblSteps[開始分],"&lt;"&amp;(S$7+TTStep),tblSteps[終了分],"&gt;"&amp;S$7)-$AK20&gt;0,"重","■"),""))</f>
        <v/>
      </c>
      <c r="T20" s="93" t="str">
        <f>IF(OR($AF20="",T$7=""),"",IF(AND($AI20=1,$AG20&lt;T$7+TTStep,$AH20&gt;T$7),IF(COUNTIFS(tblSteps[担当],$AJ20,tblSteps[重複対象],1,tblSteps[開始分],"&lt;"&amp;(T$7+TTStep),tblSteps[終了分],"&gt;"&amp;T$7)-$AK20&gt;0,"重","■"),""))</f>
        <v/>
      </c>
      <c r="U20" s="93" t="str">
        <f>IF(OR($AF20="",U$7=""),"",IF(AND($AI20=1,$AG20&lt;U$7+TTStep,$AH20&gt;U$7),IF(COUNTIFS(tblSteps[担当],$AJ20,tblSteps[重複対象],1,tblSteps[開始分],"&lt;"&amp;(U$7+TTStep),tblSteps[終了分],"&gt;"&amp;U$7)-$AK20&gt;0,"重","■"),""))</f>
        <v/>
      </c>
      <c r="V20" s="93" t="str">
        <f>IF(OR($AF20="",V$7=""),"",IF(AND($AI20=1,$AG20&lt;V$7+TTStep,$AH20&gt;V$7),IF(COUNTIFS(tblSteps[担当],$AJ20,tblSteps[重複対象],1,tblSteps[開始分],"&lt;"&amp;(V$7+TTStep),tblSteps[終了分],"&gt;"&amp;V$7)-$AK20&gt;0,"重","■"),""))</f>
        <v/>
      </c>
      <c r="W20" s="93" t="str">
        <f>IF(OR($AF20="",W$7=""),"",IF(AND($AI20=1,$AG20&lt;W$7+TTStep,$AH20&gt;W$7),IF(COUNTIFS(tblSteps[担当],$AJ20,tblSteps[重複対象],1,tblSteps[開始分],"&lt;"&amp;(W$7+TTStep),tblSteps[終了分],"&gt;"&amp;W$7)-$AK20&gt;0,"重","■"),""))</f>
        <v/>
      </c>
      <c r="X20" s="93" t="str">
        <f>IF(OR($AF20="",X$7=""),"",IF(AND($AI20=1,$AG20&lt;X$7+TTStep,$AH20&gt;X$7),IF(COUNTIFS(tblSteps[担当],$AJ20,tblSteps[重複対象],1,tblSteps[開始分],"&lt;"&amp;(X$7+TTStep),tblSteps[終了分],"&gt;"&amp;X$7)-$AK20&gt;0,"重","■"),""))</f>
        <v/>
      </c>
      <c r="Y20" s="93" t="str">
        <f>IF(OR($AF20="",Y$7=""),"",IF(AND($AI20=1,$AG20&lt;Y$7+TTStep,$AH20&gt;Y$7),IF(COUNTIFS(tblSteps[担当],$AJ20,tblSteps[重複対象],1,tblSteps[開始分],"&lt;"&amp;(Y$7+TTStep),tblSteps[終了分],"&gt;"&amp;Y$7)-$AK20&gt;0,"重","■"),""))</f>
        <v/>
      </c>
      <c r="Z20" s="93" t="str">
        <f>IF(OR($AF20="",Z$7=""),"",IF(AND($AI20=1,$AG20&lt;Z$7+TTStep,$AH20&gt;Z$7),IF(COUNTIFS(tblSteps[担当],$AJ20,tblSteps[重複対象],1,tblSteps[開始分],"&lt;"&amp;(Z$7+TTStep),tblSteps[終了分],"&gt;"&amp;Z$7)-$AK20&gt;0,"重","■"),""))</f>
        <v/>
      </c>
      <c r="AA20" s="93" t="str">
        <f>IF(OR($AF20="",AA$7=""),"",IF(AND($AI20=1,$AG20&lt;AA$7+TTStep,$AH20&gt;AA$7),IF(COUNTIFS(tblSteps[担当],$AJ20,tblSteps[重複対象],1,tblSteps[開始分],"&lt;"&amp;(AA$7+TTStep),tblSteps[終了分],"&gt;"&amp;AA$7)-$AK20&gt;0,"重","■"),""))</f>
        <v/>
      </c>
      <c r="AB20" s="93" t="str">
        <f>IF(OR($AF20="",AB$7=""),"",IF(AND($AI20=1,$AG20&lt;AB$7+TTStep,$AH20&gt;AB$7),IF(COUNTIFS(tblSteps[担当],$AJ20,tblSteps[重複対象],1,tblSteps[開始分],"&lt;"&amp;(AB$7+TTStep),tblSteps[終了分],"&gt;"&amp;AB$7)-$AK20&gt;0,"重","■"),""))</f>
        <v/>
      </c>
      <c r="AC20" s="93" t="str">
        <f>IF(OR($AF20="",AC$7=""),"",IF(AND($AI20=1,$AG20&lt;AC$7+TTStep,$AH20&gt;AC$7),IF(COUNTIFS(tblSteps[担当],$AJ20,tblSteps[重複対象],1,tblSteps[開始分],"&lt;"&amp;(AC$7+TTStep),tblSteps[終了分],"&gt;"&amp;AC$7)-$AK20&gt;0,"重","■"),""))</f>
        <v/>
      </c>
      <c r="AD20" s="93" t="str">
        <f>IF(OR($AF20="",AD$7=""),"",IF(AND($AI20=1,$AG20&lt;AD$7+TTStep,$AH20&gt;AD$7),IF(COUNTIFS(tblSteps[担当],$AJ20,tblSteps[重複対象],1,tblSteps[開始分],"&lt;"&amp;(AD$7+TTStep),tblSteps[終了分],"&gt;"&amp;AD$7)-$AK20&gt;0,"重","■"),""))</f>
        <v/>
      </c>
      <c r="AF20" t="str">
        <f>IF(13&gt;COUNTIF(tblSteps[時間割対象],1),"",IFERROR(MATCH(13,tblSteps[時間割順位],0),""))</f>
        <v/>
      </c>
      <c r="AG20" t="str">
        <f>IF($AF20="","",INDEX(tblSteps[開始分],$AF20))</f>
        <v/>
      </c>
      <c r="AH20" t="str">
        <f>IF($AF20="","",INDEX(tblSteps[終了分],$AF20))</f>
        <v/>
      </c>
      <c r="AI20" t="str">
        <f>IF($AF20="","",INDEX(tblSteps[時刻OK],$AF20))</f>
        <v/>
      </c>
      <c r="AJ20" t="str">
        <f>IF($AF20="","",INDEX(tblSteps[担当],$AF20))</f>
        <v/>
      </c>
      <c r="AK20" t="str">
        <f>IF($AF20="","",INDEX(tblSteps[重複対象],$AF20))</f>
        <v/>
      </c>
      <c r="AL20" t="str">
        <f>IF($AF20="","",INDEX(tblSteps[案件ID],$AF20))</f>
        <v/>
      </c>
    </row>
    <row r="21" ht="20" customHeight="1">
      <c r="A21" s="89" t="str">
        <f>IF($AF21="","",INDEX(tblSteps[工程ID],$AF21)&amp;"")</f>
        <v/>
      </c>
      <c r="B21" s="88" t="str">
        <f>IF($AF21="","",$AL21&amp;" "&amp;INDEX(tblSteps[案件名],$AF21))</f>
        <v/>
      </c>
      <c r="C21" s="88" t="str">
        <f>IF($AF21="","",INDEX(tblSteps[工程名],$AF21)&amp;"")</f>
        <v/>
      </c>
      <c r="D21" s="89" t="str">
        <f>IF($AF21="","",$AJ21&amp;"")</f>
        <v/>
      </c>
      <c r="E21" s="103" t="str">
        <f>IF($AF21="","",IF($AI21=1,$AG21/1440,INDEX(tblSteps[計画開始日],$AF21)))</f>
        <v/>
      </c>
      <c r="F21" s="103" t="str">
        <f>IF($AF21="","",IF($AI21=1,$AH21/1440,INDEX(tblSteps[計画終了日],$AF21)))</f>
        <v/>
      </c>
      <c r="G21" s="89" t="str">
        <f>IF($AF21="","",INDEX(tblSteps[状態],$AF21)&amp;"")</f>
        <v/>
      </c>
      <c r="H21" s="92" t="str">
        <f>IF($AF21="","",_xlfn.TEXTJOIN("／",TRUE,IF($AI21=0,"終了日時が開始日時以前",""),IF(AND($AI21=1,OR($AH21&lt;=TTDate*1440+ROUND(TTStart*1440,0),$AG21&gt;=TTDate*1440+ROUND(TTEnd*1440,0))),"表示時間外",""),IF(AND($AI21=1,$AG21&lt;TTDate*1440),"前日から継続",""),IF(AND($AI21=1,$AH21&gt;TTDate*1440+1440),"翌日へ継続",""),IF(INDEX(tblSteps[重複数],$AF21)&gt;0,"予定重複の可能性","")))</f>
        <v/>
      </c>
      <c r="I21" s="93" t="str">
        <f>IF(OR($AF21="",I$7=""),"",IF(AND($AI21=1,$AG21&lt;I$7+TTStep,$AH21&gt;I$7),IF(COUNTIFS(tblSteps[担当],$AJ21,tblSteps[重複対象],1,tblSteps[開始分],"&lt;"&amp;(I$7+TTStep),tblSteps[終了分],"&gt;"&amp;I$7)-$AK21&gt;0,"重","■"),""))</f>
        <v/>
      </c>
      <c r="J21" s="93" t="str">
        <f>IF(OR($AF21="",J$7=""),"",IF(AND($AI21=1,$AG21&lt;J$7+TTStep,$AH21&gt;J$7),IF(COUNTIFS(tblSteps[担当],$AJ21,tblSteps[重複対象],1,tblSteps[開始分],"&lt;"&amp;(J$7+TTStep),tblSteps[終了分],"&gt;"&amp;J$7)-$AK21&gt;0,"重","■"),""))</f>
        <v/>
      </c>
      <c r="K21" s="93" t="str">
        <f>IF(OR($AF21="",K$7=""),"",IF(AND($AI21=1,$AG21&lt;K$7+TTStep,$AH21&gt;K$7),IF(COUNTIFS(tblSteps[担当],$AJ21,tblSteps[重複対象],1,tblSteps[開始分],"&lt;"&amp;(K$7+TTStep),tblSteps[終了分],"&gt;"&amp;K$7)-$AK21&gt;0,"重","■"),""))</f>
        <v/>
      </c>
      <c r="L21" s="93" t="str">
        <f>IF(OR($AF21="",L$7=""),"",IF(AND($AI21=1,$AG21&lt;L$7+TTStep,$AH21&gt;L$7),IF(COUNTIFS(tblSteps[担当],$AJ21,tblSteps[重複対象],1,tblSteps[開始分],"&lt;"&amp;(L$7+TTStep),tblSteps[終了分],"&gt;"&amp;L$7)-$AK21&gt;0,"重","■"),""))</f>
        <v/>
      </c>
      <c r="M21" s="93" t="str">
        <f>IF(OR($AF21="",M$7=""),"",IF(AND($AI21=1,$AG21&lt;M$7+TTStep,$AH21&gt;M$7),IF(COUNTIFS(tblSteps[担当],$AJ21,tblSteps[重複対象],1,tblSteps[開始分],"&lt;"&amp;(M$7+TTStep),tblSteps[終了分],"&gt;"&amp;M$7)-$AK21&gt;0,"重","■"),""))</f>
        <v/>
      </c>
      <c r="N21" s="93" t="str">
        <f>IF(OR($AF21="",N$7=""),"",IF(AND($AI21=1,$AG21&lt;N$7+TTStep,$AH21&gt;N$7),IF(COUNTIFS(tblSteps[担当],$AJ21,tblSteps[重複対象],1,tblSteps[開始分],"&lt;"&amp;(N$7+TTStep),tblSteps[終了分],"&gt;"&amp;N$7)-$AK21&gt;0,"重","■"),""))</f>
        <v/>
      </c>
      <c r="O21" s="93" t="str">
        <f>IF(OR($AF21="",O$7=""),"",IF(AND($AI21=1,$AG21&lt;O$7+TTStep,$AH21&gt;O$7),IF(COUNTIFS(tblSteps[担当],$AJ21,tblSteps[重複対象],1,tblSteps[開始分],"&lt;"&amp;(O$7+TTStep),tblSteps[終了分],"&gt;"&amp;O$7)-$AK21&gt;0,"重","■"),""))</f>
        <v/>
      </c>
      <c r="P21" s="93" t="str">
        <f>IF(OR($AF21="",P$7=""),"",IF(AND($AI21=1,$AG21&lt;P$7+TTStep,$AH21&gt;P$7),IF(COUNTIFS(tblSteps[担当],$AJ21,tblSteps[重複対象],1,tblSteps[開始分],"&lt;"&amp;(P$7+TTStep),tblSteps[終了分],"&gt;"&amp;P$7)-$AK21&gt;0,"重","■"),""))</f>
        <v/>
      </c>
      <c r="Q21" s="93" t="str">
        <f>IF(OR($AF21="",Q$7=""),"",IF(AND($AI21=1,$AG21&lt;Q$7+TTStep,$AH21&gt;Q$7),IF(COUNTIFS(tblSteps[担当],$AJ21,tblSteps[重複対象],1,tblSteps[開始分],"&lt;"&amp;(Q$7+TTStep),tblSteps[終了分],"&gt;"&amp;Q$7)-$AK21&gt;0,"重","■"),""))</f>
        <v/>
      </c>
      <c r="R21" s="93" t="str">
        <f>IF(OR($AF21="",R$7=""),"",IF(AND($AI21=1,$AG21&lt;R$7+TTStep,$AH21&gt;R$7),IF(COUNTIFS(tblSteps[担当],$AJ21,tblSteps[重複対象],1,tblSteps[開始分],"&lt;"&amp;(R$7+TTStep),tblSteps[終了分],"&gt;"&amp;R$7)-$AK21&gt;0,"重","■"),""))</f>
        <v/>
      </c>
      <c r="S21" s="93" t="str">
        <f>IF(OR($AF21="",S$7=""),"",IF(AND($AI21=1,$AG21&lt;S$7+TTStep,$AH21&gt;S$7),IF(COUNTIFS(tblSteps[担当],$AJ21,tblSteps[重複対象],1,tblSteps[開始分],"&lt;"&amp;(S$7+TTStep),tblSteps[終了分],"&gt;"&amp;S$7)-$AK21&gt;0,"重","■"),""))</f>
        <v/>
      </c>
      <c r="T21" s="93" t="str">
        <f>IF(OR($AF21="",T$7=""),"",IF(AND($AI21=1,$AG21&lt;T$7+TTStep,$AH21&gt;T$7),IF(COUNTIFS(tblSteps[担当],$AJ21,tblSteps[重複対象],1,tblSteps[開始分],"&lt;"&amp;(T$7+TTStep),tblSteps[終了分],"&gt;"&amp;T$7)-$AK21&gt;0,"重","■"),""))</f>
        <v/>
      </c>
      <c r="U21" s="93" t="str">
        <f>IF(OR($AF21="",U$7=""),"",IF(AND($AI21=1,$AG21&lt;U$7+TTStep,$AH21&gt;U$7),IF(COUNTIFS(tblSteps[担当],$AJ21,tblSteps[重複対象],1,tblSteps[開始分],"&lt;"&amp;(U$7+TTStep),tblSteps[終了分],"&gt;"&amp;U$7)-$AK21&gt;0,"重","■"),""))</f>
        <v/>
      </c>
      <c r="V21" s="93" t="str">
        <f>IF(OR($AF21="",V$7=""),"",IF(AND($AI21=1,$AG21&lt;V$7+TTStep,$AH21&gt;V$7),IF(COUNTIFS(tblSteps[担当],$AJ21,tblSteps[重複対象],1,tblSteps[開始分],"&lt;"&amp;(V$7+TTStep),tblSteps[終了分],"&gt;"&amp;V$7)-$AK21&gt;0,"重","■"),""))</f>
        <v/>
      </c>
      <c r="W21" s="93" t="str">
        <f>IF(OR($AF21="",W$7=""),"",IF(AND($AI21=1,$AG21&lt;W$7+TTStep,$AH21&gt;W$7),IF(COUNTIFS(tblSteps[担当],$AJ21,tblSteps[重複対象],1,tblSteps[開始分],"&lt;"&amp;(W$7+TTStep),tblSteps[終了分],"&gt;"&amp;W$7)-$AK21&gt;0,"重","■"),""))</f>
        <v/>
      </c>
      <c r="X21" s="93" t="str">
        <f>IF(OR($AF21="",X$7=""),"",IF(AND($AI21=1,$AG21&lt;X$7+TTStep,$AH21&gt;X$7),IF(COUNTIFS(tblSteps[担当],$AJ21,tblSteps[重複対象],1,tblSteps[開始分],"&lt;"&amp;(X$7+TTStep),tblSteps[終了分],"&gt;"&amp;X$7)-$AK21&gt;0,"重","■"),""))</f>
        <v/>
      </c>
      <c r="Y21" s="93" t="str">
        <f>IF(OR($AF21="",Y$7=""),"",IF(AND($AI21=1,$AG21&lt;Y$7+TTStep,$AH21&gt;Y$7),IF(COUNTIFS(tblSteps[担当],$AJ21,tblSteps[重複対象],1,tblSteps[開始分],"&lt;"&amp;(Y$7+TTStep),tblSteps[終了分],"&gt;"&amp;Y$7)-$AK21&gt;0,"重","■"),""))</f>
        <v/>
      </c>
      <c r="Z21" s="93" t="str">
        <f>IF(OR($AF21="",Z$7=""),"",IF(AND($AI21=1,$AG21&lt;Z$7+TTStep,$AH21&gt;Z$7),IF(COUNTIFS(tblSteps[担当],$AJ21,tblSteps[重複対象],1,tblSteps[開始分],"&lt;"&amp;(Z$7+TTStep),tblSteps[終了分],"&gt;"&amp;Z$7)-$AK21&gt;0,"重","■"),""))</f>
        <v/>
      </c>
      <c r="AA21" s="93" t="str">
        <f>IF(OR($AF21="",AA$7=""),"",IF(AND($AI21=1,$AG21&lt;AA$7+TTStep,$AH21&gt;AA$7),IF(COUNTIFS(tblSteps[担当],$AJ21,tblSteps[重複対象],1,tblSteps[開始分],"&lt;"&amp;(AA$7+TTStep),tblSteps[終了分],"&gt;"&amp;AA$7)-$AK21&gt;0,"重","■"),""))</f>
        <v/>
      </c>
      <c r="AB21" s="93" t="str">
        <f>IF(OR($AF21="",AB$7=""),"",IF(AND($AI21=1,$AG21&lt;AB$7+TTStep,$AH21&gt;AB$7),IF(COUNTIFS(tblSteps[担当],$AJ21,tblSteps[重複対象],1,tblSteps[開始分],"&lt;"&amp;(AB$7+TTStep),tblSteps[終了分],"&gt;"&amp;AB$7)-$AK21&gt;0,"重","■"),""))</f>
        <v/>
      </c>
      <c r="AC21" s="93" t="str">
        <f>IF(OR($AF21="",AC$7=""),"",IF(AND($AI21=1,$AG21&lt;AC$7+TTStep,$AH21&gt;AC$7),IF(COUNTIFS(tblSteps[担当],$AJ21,tblSteps[重複対象],1,tblSteps[開始分],"&lt;"&amp;(AC$7+TTStep),tblSteps[終了分],"&gt;"&amp;AC$7)-$AK21&gt;0,"重","■"),""))</f>
        <v/>
      </c>
      <c r="AD21" s="93" t="str">
        <f>IF(OR($AF21="",AD$7=""),"",IF(AND($AI21=1,$AG21&lt;AD$7+TTStep,$AH21&gt;AD$7),IF(COUNTIFS(tblSteps[担当],$AJ21,tblSteps[重複対象],1,tblSteps[開始分],"&lt;"&amp;(AD$7+TTStep),tblSteps[終了分],"&gt;"&amp;AD$7)-$AK21&gt;0,"重","■"),""))</f>
        <v/>
      </c>
      <c r="AF21" t="str">
        <f>IF(14&gt;COUNTIF(tblSteps[時間割対象],1),"",IFERROR(MATCH(14,tblSteps[時間割順位],0),""))</f>
        <v/>
      </c>
      <c r="AG21" t="str">
        <f>IF($AF21="","",INDEX(tblSteps[開始分],$AF21))</f>
        <v/>
      </c>
      <c r="AH21" t="str">
        <f>IF($AF21="","",INDEX(tblSteps[終了分],$AF21))</f>
        <v/>
      </c>
      <c r="AI21" t="str">
        <f>IF($AF21="","",INDEX(tblSteps[時刻OK],$AF21))</f>
        <v/>
      </c>
      <c r="AJ21" t="str">
        <f>IF($AF21="","",INDEX(tblSteps[担当],$AF21))</f>
        <v/>
      </c>
      <c r="AK21" t="str">
        <f>IF($AF21="","",INDEX(tblSteps[重複対象],$AF21))</f>
        <v/>
      </c>
      <c r="AL21" t="str">
        <f>IF($AF21="","",INDEX(tblSteps[案件ID],$AF21))</f>
        <v/>
      </c>
    </row>
    <row r="22" ht="20" customHeight="1">
      <c r="A22" s="89" t="str">
        <f>IF($AF22="","",INDEX(tblSteps[工程ID],$AF22)&amp;"")</f>
        <v/>
      </c>
      <c r="B22" s="88" t="str">
        <f>IF($AF22="","",$AL22&amp;" "&amp;INDEX(tblSteps[案件名],$AF22))</f>
        <v/>
      </c>
      <c r="C22" s="88" t="str">
        <f>IF($AF22="","",INDEX(tblSteps[工程名],$AF22)&amp;"")</f>
        <v/>
      </c>
      <c r="D22" s="89" t="str">
        <f>IF($AF22="","",$AJ22&amp;"")</f>
        <v/>
      </c>
      <c r="E22" s="103" t="str">
        <f>IF($AF22="","",IF($AI22=1,$AG22/1440,INDEX(tblSteps[計画開始日],$AF22)))</f>
        <v/>
      </c>
      <c r="F22" s="103" t="str">
        <f>IF($AF22="","",IF($AI22=1,$AH22/1440,INDEX(tblSteps[計画終了日],$AF22)))</f>
        <v/>
      </c>
      <c r="G22" s="89" t="str">
        <f>IF($AF22="","",INDEX(tblSteps[状態],$AF22)&amp;"")</f>
        <v/>
      </c>
      <c r="H22" s="92" t="str">
        <f>IF($AF22="","",_xlfn.TEXTJOIN("／",TRUE,IF($AI22=0,"終了日時が開始日時以前",""),IF(AND($AI22=1,OR($AH22&lt;=TTDate*1440+ROUND(TTStart*1440,0),$AG22&gt;=TTDate*1440+ROUND(TTEnd*1440,0))),"表示時間外",""),IF(AND($AI22=1,$AG22&lt;TTDate*1440),"前日から継続",""),IF(AND($AI22=1,$AH22&gt;TTDate*1440+1440),"翌日へ継続",""),IF(INDEX(tblSteps[重複数],$AF22)&gt;0,"予定重複の可能性","")))</f>
        <v/>
      </c>
      <c r="I22" s="93" t="str">
        <f>IF(OR($AF22="",I$7=""),"",IF(AND($AI22=1,$AG22&lt;I$7+TTStep,$AH22&gt;I$7),IF(COUNTIFS(tblSteps[担当],$AJ22,tblSteps[重複対象],1,tblSteps[開始分],"&lt;"&amp;(I$7+TTStep),tblSteps[終了分],"&gt;"&amp;I$7)-$AK22&gt;0,"重","■"),""))</f>
        <v/>
      </c>
      <c r="J22" s="93" t="str">
        <f>IF(OR($AF22="",J$7=""),"",IF(AND($AI22=1,$AG22&lt;J$7+TTStep,$AH22&gt;J$7),IF(COUNTIFS(tblSteps[担当],$AJ22,tblSteps[重複対象],1,tblSteps[開始分],"&lt;"&amp;(J$7+TTStep),tblSteps[終了分],"&gt;"&amp;J$7)-$AK22&gt;0,"重","■"),""))</f>
        <v/>
      </c>
      <c r="K22" s="93" t="str">
        <f>IF(OR($AF22="",K$7=""),"",IF(AND($AI22=1,$AG22&lt;K$7+TTStep,$AH22&gt;K$7),IF(COUNTIFS(tblSteps[担当],$AJ22,tblSteps[重複対象],1,tblSteps[開始分],"&lt;"&amp;(K$7+TTStep),tblSteps[終了分],"&gt;"&amp;K$7)-$AK22&gt;0,"重","■"),""))</f>
        <v/>
      </c>
      <c r="L22" s="93" t="str">
        <f>IF(OR($AF22="",L$7=""),"",IF(AND($AI22=1,$AG22&lt;L$7+TTStep,$AH22&gt;L$7),IF(COUNTIFS(tblSteps[担当],$AJ22,tblSteps[重複対象],1,tblSteps[開始分],"&lt;"&amp;(L$7+TTStep),tblSteps[終了分],"&gt;"&amp;L$7)-$AK22&gt;0,"重","■"),""))</f>
        <v/>
      </c>
      <c r="M22" s="93" t="str">
        <f>IF(OR($AF22="",M$7=""),"",IF(AND($AI22=1,$AG22&lt;M$7+TTStep,$AH22&gt;M$7),IF(COUNTIFS(tblSteps[担当],$AJ22,tblSteps[重複対象],1,tblSteps[開始分],"&lt;"&amp;(M$7+TTStep),tblSteps[終了分],"&gt;"&amp;M$7)-$AK22&gt;0,"重","■"),""))</f>
        <v/>
      </c>
      <c r="N22" s="93" t="str">
        <f>IF(OR($AF22="",N$7=""),"",IF(AND($AI22=1,$AG22&lt;N$7+TTStep,$AH22&gt;N$7),IF(COUNTIFS(tblSteps[担当],$AJ22,tblSteps[重複対象],1,tblSteps[開始分],"&lt;"&amp;(N$7+TTStep),tblSteps[終了分],"&gt;"&amp;N$7)-$AK22&gt;0,"重","■"),""))</f>
        <v/>
      </c>
      <c r="O22" s="93" t="str">
        <f>IF(OR($AF22="",O$7=""),"",IF(AND($AI22=1,$AG22&lt;O$7+TTStep,$AH22&gt;O$7),IF(COUNTIFS(tblSteps[担当],$AJ22,tblSteps[重複対象],1,tblSteps[開始分],"&lt;"&amp;(O$7+TTStep),tblSteps[終了分],"&gt;"&amp;O$7)-$AK22&gt;0,"重","■"),""))</f>
        <v/>
      </c>
      <c r="P22" s="93" t="str">
        <f>IF(OR($AF22="",P$7=""),"",IF(AND($AI22=1,$AG22&lt;P$7+TTStep,$AH22&gt;P$7),IF(COUNTIFS(tblSteps[担当],$AJ22,tblSteps[重複対象],1,tblSteps[開始分],"&lt;"&amp;(P$7+TTStep),tblSteps[終了分],"&gt;"&amp;P$7)-$AK22&gt;0,"重","■"),""))</f>
        <v/>
      </c>
      <c r="Q22" s="93" t="str">
        <f>IF(OR($AF22="",Q$7=""),"",IF(AND($AI22=1,$AG22&lt;Q$7+TTStep,$AH22&gt;Q$7),IF(COUNTIFS(tblSteps[担当],$AJ22,tblSteps[重複対象],1,tblSteps[開始分],"&lt;"&amp;(Q$7+TTStep),tblSteps[終了分],"&gt;"&amp;Q$7)-$AK22&gt;0,"重","■"),""))</f>
        <v/>
      </c>
      <c r="R22" s="93" t="str">
        <f>IF(OR($AF22="",R$7=""),"",IF(AND($AI22=1,$AG22&lt;R$7+TTStep,$AH22&gt;R$7),IF(COUNTIFS(tblSteps[担当],$AJ22,tblSteps[重複対象],1,tblSteps[開始分],"&lt;"&amp;(R$7+TTStep),tblSteps[終了分],"&gt;"&amp;R$7)-$AK22&gt;0,"重","■"),""))</f>
        <v/>
      </c>
      <c r="S22" s="93" t="str">
        <f>IF(OR($AF22="",S$7=""),"",IF(AND($AI22=1,$AG22&lt;S$7+TTStep,$AH22&gt;S$7),IF(COUNTIFS(tblSteps[担当],$AJ22,tblSteps[重複対象],1,tblSteps[開始分],"&lt;"&amp;(S$7+TTStep),tblSteps[終了分],"&gt;"&amp;S$7)-$AK22&gt;0,"重","■"),""))</f>
        <v/>
      </c>
      <c r="T22" s="93" t="str">
        <f>IF(OR($AF22="",T$7=""),"",IF(AND($AI22=1,$AG22&lt;T$7+TTStep,$AH22&gt;T$7),IF(COUNTIFS(tblSteps[担当],$AJ22,tblSteps[重複対象],1,tblSteps[開始分],"&lt;"&amp;(T$7+TTStep),tblSteps[終了分],"&gt;"&amp;T$7)-$AK22&gt;0,"重","■"),""))</f>
        <v/>
      </c>
      <c r="U22" s="93" t="str">
        <f>IF(OR($AF22="",U$7=""),"",IF(AND($AI22=1,$AG22&lt;U$7+TTStep,$AH22&gt;U$7),IF(COUNTIFS(tblSteps[担当],$AJ22,tblSteps[重複対象],1,tblSteps[開始分],"&lt;"&amp;(U$7+TTStep),tblSteps[終了分],"&gt;"&amp;U$7)-$AK22&gt;0,"重","■"),""))</f>
        <v/>
      </c>
      <c r="V22" s="93" t="str">
        <f>IF(OR($AF22="",V$7=""),"",IF(AND($AI22=1,$AG22&lt;V$7+TTStep,$AH22&gt;V$7),IF(COUNTIFS(tblSteps[担当],$AJ22,tblSteps[重複対象],1,tblSteps[開始分],"&lt;"&amp;(V$7+TTStep),tblSteps[終了分],"&gt;"&amp;V$7)-$AK22&gt;0,"重","■"),""))</f>
        <v/>
      </c>
      <c r="W22" s="93" t="str">
        <f>IF(OR($AF22="",W$7=""),"",IF(AND($AI22=1,$AG22&lt;W$7+TTStep,$AH22&gt;W$7),IF(COUNTIFS(tblSteps[担当],$AJ22,tblSteps[重複対象],1,tblSteps[開始分],"&lt;"&amp;(W$7+TTStep),tblSteps[終了分],"&gt;"&amp;W$7)-$AK22&gt;0,"重","■"),""))</f>
        <v/>
      </c>
      <c r="X22" s="93" t="str">
        <f>IF(OR($AF22="",X$7=""),"",IF(AND($AI22=1,$AG22&lt;X$7+TTStep,$AH22&gt;X$7),IF(COUNTIFS(tblSteps[担当],$AJ22,tblSteps[重複対象],1,tblSteps[開始分],"&lt;"&amp;(X$7+TTStep),tblSteps[終了分],"&gt;"&amp;X$7)-$AK22&gt;0,"重","■"),""))</f>
        <v/>
      </c>
      <c r="Y22" s="93" t="str">
        <f>IF(OR($AF22="",Y$7=""),"",IF(AND($AI22=1,$AG22&lt;Y$7+TTStep,$AH22&gt;Y$7),IF(COUNTIFS(tblSteps[担当],$AJ22,tblSteps[重複対象],1,tblSteps[開始分],"&lt;"&amp;(Y$7+TTStep),tblSteps[終了分],"&gt;"&amp;Y$7)-$AK22&gt;0,"重","■"),""))</f>
        <v/>
      </c>
      <c r="Z22" s="93" t="str">
        <f>IF(OR($AF22="",Z$7=""),"",IF(AND($AI22=1,$AG22&lt;Z$7+TTStep,$AH22&gt;Z$7),IF(COUNTIFS(tblSteps[担当],$AJ22,tblSteps[重複対象],1,tblSteps[開始分],"&lt;"&amp;(Z$7+TTStep),tblSteps[終了分],"&gt;"&amp;Z$7)-$AK22&gt;0,"重","■"),""))</f>
        <v/>
      </c>
      <c r="AA22" s="93" t="str">
        <f>IF(OR($AF22="",AA$7=""),"",IF(AND($AI22=1,$AG22&lt;AA$7+TTStep,$AH22&gt;AA$7),IF(COUNTIFS(tblSteps[担当],$AJ22,tblSteps[重複対象],1,tblSteps[開始分],"&lt;"&amp;(AA$7+TTStep),tblSteps[終了分],"&gt;"&amp;AA$7)-$AK22&gt;0,"重","■"),""))</f>
        <v/>
      </c>
      <c r="AB22" s="93" t="str">
        <f>IF(OR($AF22="",AB$7=""),"",IF(AND($AI22=1,$AG22&lt;AB$7+TTStep,$AH22&gt;AB$7),IF(COUNTIFS(tblSteps[担当],$AJ22,tblSteps[重複対象],1,tblSteps[開始分],"&lt;"&amp;(AB$7+TTStep),tblSteps[終了分],"&gt;"&amp;AB$7)-$AK22&gt;0,"重","■"),""))</f>
        <v/>
      </c>
      <c r="AC22" s="93" t="str">
        <f>IF(OR($AF22="",AC$7=""),"",IF(AND($AI22=1,$AG22&lt;AC$7+TTStep,$AH22&gt;AC$7),IF(COUNTIFS(tblSteps[担当],$AJ22,tblSteps[重複対象],1,tblSteps[開始分],"&lt;"&amp;(AC$7+TTStep),tblSteps[終了分],"&gt;"&amp;AC$7)-$AK22&gt;0,"重","■"),""))</f>
        <v/>
      </c>
      <c r="AD22" s="93" t="str">
        <f>IF(OR($AF22="",AD$7=""),"",IF(AND($AI22=1,$AG22&lt;AD$7+TTStep,$AH22&gt;AD$7),IF(COUNTIFS(tblSteps[担当],$AJ22,tblSteps[重複対象],1,tblSteps[開始分],"&lt;"&amp;(AD$7+TTStep),tblSteps[終了分],"&gt;"&amp;AD$7)-$AK22&gt;0,"重","■"),""))</f>
        <v/>
      </c>
      <c r="AF22" t="str">
        <f>IF(15&gt;COUNTIF(tblSteps[時間割対象],1),"",IFERROR(MATCH(15,tblSteps[時間割順位],0),""))</f>
        <v/>
      </c>
      <c r="AG22" t="str">
        <f>IF($AF22="","",INDEX(tblSteps[開始分],$AF22))</f>
        <v/>
      </c>
      <c r="AH22" t="str">
        <f>IF($AF22="","",INDEX(tblSteps[終了分],$AF22))</f>
        <v/>
      </c>
      <c r="AI22" t="str">
        <f>IF($AF22="","",INDEX(tblSteps[時刻OK],$AF22))</f>
        <v/>
      </c>
      <c r="AJ22" t="str">
        <f>IF($AF22="","",INDEX(tblSteps[担当],$AF22))</f>
        <v/>
      </c>
      <c r="AK22" t="str">
        <f>IF($AF22="","",INDEX(tblSteps[重複対象],$AF22))</f>
        <v/>
      </c>
      <c r="AL22" t="str">
        <f>IF($AF22="","",INDEX(tblSteps[案件ID],$AF22))</f>
        <v/>
      </c>
    </row>
    <row r="23" ht="20" customHeight="1">
      <c r="A23" s="89" t="str">
        <f>IF($AF23="","",INDEX(tblSteps[工程ID],$AF23)&amp;"")</f>
        <v/>
      </c>
      <c r="B23" s="88" t="str">
        <f>IF($AF23="","",$AL23&amp;" "&amp;INDEX(tblSteps[案件名],$AF23))</f>
        <v/>
      </c>
      <c r="C23" s="88" t="str">
        <f>IF($AF23="","",INDEX(tblSteps[工程名],$AF23)&amp;"")</f>
        <v/>
      </c>
      <c r="D23" s="89" t="str">
        <f>IF($AF23="","",$AJ23&amp;"")</f>
        <v/>
      </c>
      <c r="E23" s="103" t="str">
        <f>IF($AF23="","",IF($AI23=1,$AG23/1440,INDEX(tblSteps[計画開始日],$AF23)))</f>
        <v/>
      </c>
      <c r="F23" s="103" t="str">
        <f>IF($AF23="","",IF($AI23=1,$AH23/1440,INDEX(tblSteps[計画終了日],$AF23)))</f>
        <v/>
      </c>
      <c r="G23" s="89" t="str">
        <f>IF($AF23="","",INDEX(tblSteps[状態],$AF23)&amp;"")</f>
        <v/>
      </c>
      <c r="H23" s="92" t="str">
        <f>IF($AF23="","",_xlfn.TEXTJOIN("／",TRUE,IF($AI23=0,"終了日時が開始日時以前",""),IF(AND($AI23=1,OR($AH23&lt;=TTDate*1440+ROUND(TTStart*1440,0),$AG23&gt;=TTDate*1440+ROUND(TTEnd*1440,0))),"表示時間外",""),IF(AND($AI23=1,$AG23&lt;TTDate*1440),"前日から継続",""),IF(AND($AI23=1,$AH23&gt;TTDate*1440+1440),"翌日へ継続",""),IF(INDEX(tblSteps[重複数],$AF23)&gt;0,"予定重複の可能性","")))</f>
        <v/>
      </c>
      <c r="I23" s="93" t="str">
        <f>IF(OR($AF23="",I$7=""),"",IF(AND($AI23=1,$AG23&lt;I$7+TTStep,$AH23&gt;I$7),IF(COUNTIFS(tblSteps[担当],$AJ23,tblSteps[重複対象],1,tblSteps[開始分],"&lt;"&amp;(I$7+TTStep),tblSteps[終了分],"&gt;"&amp;I$7)-$AK23&gt;0,"重","■"),""))</f>
        <v/>
      </c>
      <c r="J23" s="93" t="str">
        <f>IF(OR($AF23="",J$7=""),"",IF(AND($AI23=1,$AG23&lt;J$7+TTStep,$AH23&gt;J$7),IF(COUNTIFS(tblSteps[担当],$AJ23,tblSteps[重複対象],1,tblSteps[開始分],"&lt;"&amp;(J$7+TTStep),tblSteps[終了分],"&gt;"&amp;J$7)-$AK23&gt;0,"重","■"),""))</f>
        <v/>
      </c>
      <c r="K23" s="93" t="str">
        <f>IF(OR($AF23="",K$7=""),"",IF(AND($AI23=1,$AG23&lt;K$7+TTStep,$AH23&gt;K$7),IF(COUNTIFS(tblSteps[担当],$AJ23,tblSteps[重複対象],1,tblSteps[開始分],"&lt;"&amp;(K$7+TTStep),tblSteps[終了分],"&gt;"&amp;K$7)-$AK23&gt;0,"重","■"),""))</f>
        <v/>
      </c>
      <c r="L23" s="93" t="str">
        <f>IF(OR($AF23="",L$7=""),"",IF(AND($AI23=1,$AG23&lt;L$7+TTStep,$AH23&gt;L$7),IF(COUNTIFS(tblSteps[担当],$AJ23,tblSteps[重複対象],1,tblSteps[開始分],"&lt;"&amp;(L$7+TTStep),tblSteps[終了分],"&gt;"&amp;L$7)-$AK23&gt;0,"重","■"),""))</f>
        <v/>
      </c>
      <c r="M23" s="93" t="str">
        <f>IF(OR($AF23="",M$7=""),"",IF(AND($AI23=1,$AG23&lt;M$7+TTStep,$AH23&gt;M$7),IF(COUNTIFS(tblSteps[担当],$AJ23,tblSteps[重複対象],1,tblSteps[開始分],"&lt;"&amp;(M$7+TTStep),tblSteps[終了分],"&gt;"&amp;M$7)-$AK23&gt;0,"重","■"),""))</f>
        <v/>
      </c>
      <c r="N23" s="93" t="str">
        <f>IF(OR($AF23="",N$7=""),"",IF(AND($AI23=1,$AG23&lt;N$7+TTStep,$AH23&gt;N$7),IF(COUNTIFS(tblSteps[担当],$AJ23,tblSteps[重複対象],1,tblSteps[開始分],"&lt;"&amp;(N$7+TTStep),tblSteps[終了分],"&gt;"&amp;N$7)-$AK23&gt;0,"重","■"),""))</f>
        <v/>
      </c>
      <c r="O23" s="93" t="str">
        <f>IF(OR($AF23="",O$7=""),"",IF(AND($AI23=1,$AG23&lt;O$7+TTStep,$AH23&gt;O$7),IF(COUNTIFS(tblSteps[担当],$AJ23,tblSteps[重複対象],1,tblSteps[開始分],"&lt;"&amp;(O$7+TTStep),tblSteps[終了分],"&gt;"&amp;O$7)-$AK23&gt;0,"重","■"),""))</f>
        <v/>
      </c>
      <c r="P23" s="93" t="str">
        <f>IF(OR($AF23="",P$7=""),"",IF(AND($AI23=1,$AG23&lt;P$7+TTStep,$AH23&gt;P$7),IF(COUNTIFS(tblSteps[担当],$AJ23,tblSteps[重複対象],1,tblSteps[開始分],"&lt;"&amp;(P$7+TTStep),tblSteps[終了分],"&gt;"&amp;P$7)-$AK23&gt;0,"重","■"),""))</f>
        <v/>
      </c>
      <c r="Q23" s="93" t="str">
        <f>IF(OR($AF23="",Q$7=""),"",IF(AND($AI23=1,$AG23&lt;Q$7+TTStep,$AH23&gt;Q$7),IF(COUNTIFS(tblSteps[担当],$AJ23,tblSteps[重複対象],1,tblSteps[開始分],"&lt;"&amp;(Q$7+TTStep),tblSteps[終了分],"&gt;"&amp;Q$7)-$AK23&gt;0,"重","■"),""))</f>
        <v/>
      </c>
      <c r="R23" s="93" t="str">
        <f>IF(OR($AF23="",R$7=""),"",IF(AND($AI23=1,$AG23&lt;R$7+TTStep,$AH23&gt;R$7),IF(COUNTIFS(tblSteps[担当],$AJ23,tblSteps[重複対象],1,tblSteps[開始分],"&lt;"&amp;(R$7+TTStep),tblSteps[終了分],"&gt;"&amp;R$7)-$AK23&gt;0,"重","■"),""))</f>
        <v/>
      </c>
      <c r="S23" s="93" t="str">
        <f>IF(OR($AF23="",S$7=""),"",IF(AND($AI23=1,$AG23&lt;S$7+TTStep,$AH23&gt;S$7),IF(COUNTIFS(tblSteps[担当],$AJ23,tblSteps[重複対象],1,tblSteps[開始分],"&lt;"&amp;(S$7+TTStep),tblSteps[終了分],"&gt;"&amp;S$7)-$AK23&gt;0,"重","■"),""))</f>
        <v/>
      </c>
      <c r="T23" s="93" t="str">
        <f>IF(OR($AF23="",T$7=""),"",IF(AND($AI23=1,$AG23&lt;T$7+TTStep,$AH23&gt;T$7),IF(COUNTIFS(tblSteps[担当],$AJ23,tblSteps[重複対象],1,tblSteps[開始分],"&lt;"&amp;(T$7+TTStep),tblSteps[終了分],"&gt;"&amp;T$7)-$AK23&gt;0,"重","■"),""))</f>
        <v/>
      </c>
      <c r="U23" s="93" t="str">
        <f>IF(OR($AF23="",U$7=""),"",IF(AND($AI23=1,$AG23&lt;U$7+TTStep,$AH23&gt;U$7),IF(COUNTIFS(tblSteps[担当],$AJ23,tblSteps[重複対象],1,tblSteps[開始分],"&lt;"&amp;(U$7+TTStep),tblSteps[終了分],"&gt;"&amp;U$7)-$AK23&gt;0,"重","■"),""))</f>
        <v/>
      </c>
      <c r="V23" s="93" t="str">
        <f>IF(OR($AF23="",V$7=""),"",IF(AND($AI23=1,$AG23&lt;V$7+TTStep,$AH23&gt;V$7),IF(COUNTIFS(tblSteps[担当],$AJ23,tblSteps[重複対象],1,tblSteps[開始分],"&lt;"&amp;(V$7+TTStep),tblSteps[終了分],"&gt;"&amp;V$7)-$AK23&gt;0,"重","■"),""))</f>
        <v/>
      </c>
      <c r="W23" s="93" t="str">
        <f>IF(OR($AF23="",W$7=""),"",IF(AND($AI23=1,$AG23&lt;W$7+TTStep,$AH23&gt;W$7),IF(COUNTIFS(tblSteps[担当],$AJ23,tblSteps[重複対象],1,tblSteps[開始分],"&lt;"&amp;(W$7+TTStep),tblSteps[終了分],"&gt;"&amp;W$7)-$AK23&gt;0,"重","■"),""))</f>
        <v/>
      </c>
      <c r="X23" s="93" t="str">
        <f>IF(OR($AF23="",X$7=""),"",IF(AND($AI23=1,$AG23&lt;X$7+TTStep,$AH23&gt;X$7),IF(COUNTIFS(tblSteps[担当],$AJ23,tblSteps[重複対象],1,tblSteps[開始分],"&lt;"&amp;(X$7+TTStep),tblSteps[終了分],"&gt;"&amp;X$7)-$AK23&gt;0,"重","■"),""))</f>
        <v/>
      </c>
      <c r="Y23" s="93" t="str">
        <f>IF(OR($AF23="",Y$7=""),"",IF(AND($AI23=1,$AG23&lt;Y$7+TTStep,$AH23&gt;Y$7),IF(COUNTIFS(tblSteps[担当],$AJ23,tblSteps[重複対象],1,tblSteps[開始分],"&lt;"&amp;(Y$7+TTStep),tblSteps[終了分],"&gt;"&amp;Y$7)-$AK23&gt;0,"重","■"),""))</f>
        <v/>
      </c>
      <c r="Z23" s="93" t="str">
        <f>IF(OR($AF23="",Z$7=""),"",IF(AND($AI23=1,$AG23&lt;Z$7+TTStep,$AH23&gt;Z$7),IF(COUNTIFS(tblSteps[担当],$AJ23,tblSteps[重複対象],1,tblSteps[開始分],"&lt;"&amp;(Z$7+TTStep),tblSteps[終了分],"&gt;"&amp;Z$7)-$AK23&gt;0,"重","■"),""))</f>
        <v/>
      </c>
      <c r="AA23" s="93" t="str">
        <f>IF(OR($AF23="",AA$7=""),"",IF(AND($AI23=1,$AG23&lt;AA$7+TTStep,$AH23&gt;AA$7),IF(COUNTIFS(tblSteps[担当],$AJ23,tblSteps[重複対象],1,tblSteps[開始分],"&lt;"&amp;(AA$7+TTStep),tblSteps[終了分],"&gt;"&amp;AA$7)-$AK23&gt;0,"重","■"),""))</f>
        <v/>
      </c>
      <c r="AB23" s="93" t="str">
        <f>IF(OR($AF23="",AB$7=""),"",IF(AND($AI23=1,$AG23&lt;AB$7+TTStep,$AH23&gt;AB$7),IF(COUNTIFS(tblSteps[担当],$AJ23,tblSteps[重複対象],1,tblSteps[開始分],"&lt;"&amp;(AB$7+TTStep),tblSteps[終了分],"&gt;"&amp;AB$7)-$AK23&gt;0,"重","■"),""))</f>
        <v/>
      </c>
      <c r="AC23" s="93" t="str">
        <f>IF(OR($AF23="",AC$7=""),"",IF(AND($AI23=1,$AG23&lt;AC$7+TTStep,$AH23&gt;AC$7),IF(COUNTIFS(tblSteps[担当],$AJ23,tblSteps[重複対象],1,tblSteps[開始分],"&lt;"&amp;(AC$7+TTStep),tblSteps[終了分],"&gt;"&amp;AC$7)-$AK23&gt;0,"重","■"),""))</f>
        <v/>
      </c>
      <c r="AD23" s="93" t="str">
        <f>IF(OR($AF23="",AD$7=""),"",IF(AND($AI23=1,$AG23&lt;AD$7+TTStep,$AH23&gt;AD$7),IF(COUNTIFS(tblSteps[担当],$AJ23,tblSteps[重複対象],1,tblSteps[開始分],"&lt;"&amp;(AD$7+TTStep),tblSteps[終了分],"&gt;"&amp;AD$7)-$AK23&gt;0,"重","■"),""))</f>
        <v/>
      </c>
      <c r="AF23" t="str">
        <f>IF(16&gt;COUNTIF(tblSteps[時間割対象],1),"",IFERROR(MATCH(16,tblSteps[時間割順位],0),""))</f>
        <v/>
      </c>
      <c r="AG23" t="str">
        <f>IF($AF23="","",INDEX(tblSteps[開始分],$AF23))</f>
        <v/>
      </c>
      <c r="AH23" t="str">
        <f>IF($AF23="","",INDEX(tblSteps[終了分],$AF23))</f>
        <v/>
      </c>
      <c r="AI23" t="str">
        <f>IF($AF23="","",INDEX(tblSteps[時刻OK],$AF23))</f>
        <v/>
      </c>
      <c r="AJ23" t="str">
        <f>IF($AF23="","",INDEX(tblSteps[担当],$AF23))</f>
        <v/>
      </c>
      <c r="AK23" t="str">
        <f>IF($AF23="","",INDEX(tblSteps[重複対象],$AF23))</f>
        <v/>
      </c>
      <c r="AL23" t="str">
        <f>IF($AF23="","",INDEX(tblSteps[案件ID],$AF23))</f>
        <v/>
      </c>
    </row>
    <row r="24" ht="20" customHeight="1">
      <c r="A24" s="89" t="str">
        <f>IF($AF24="","",INDEX(tblSteps[工程ID],$AF24)&amp;"")</f>
        <v/>
      </c>
      <c r="B24" s="88" t="str">
        <f>IF($AF24="","",$AL24&amp;" "&amp;INDEX(tblSteps[案件名],$AF24))</f>
        <v/>
      </c>
      <c r="C24" s="88" t="str">
        <f>IF($AF24="","",INDEX(tblSteps[工程名],$AF24)&amp;"")</f>
        <v/>
      </c>
      <c r="D24" s="89" t="str">
        <f>IF($AF24="","",$AJ24&amp;"")</f>
        <v/>
      </c>
      <c r="E24" s="103" t="str">
        <f>IF($AF24="","",IF($AI24=1,$AG24/1440,INDEX(tblSteps[計画開始日],$AF24)))</f>
        <v/>
      </c>
      <c r="F24" s="103" t="str">
        <f>IF($AF24="","",IF($AI24=1,$AH24/1440,INDEX(tblSteps[計画終了日],$AF24)))</f>
        <v/>
      </c>
      <c r="G24" s="89" t="str">
        <f>IF($AF24="","",INDEX(tblSteps[状態],$AF24)&amp;"")</f>
        <v/>
      </c>
      <c r="H24" s="92" t="str">
        <f>IF($AF24="","",_xlfn.TEXTJOIN("／",TRUE,IF($AI24=0,"終了日時が開始日時以前",""),IF(AND($AI24=1,OR($AH24&lt;=TTDate*1440+ROUND(TTStart*1440,0),$AG24&gt;=TTDate*1440+ROUND(TTEnd*1440,0))),"表示時間外",""),IF(AND($AI24=1,$AG24&lt;TTDate*1440),"前日から継続",""),IF(AND($AI24=1,$AH24&gt;TTDate*1440+1440),"翌日へ継続",""),IF(INDEX(tblSteps[重複数],$AF24)&gt;0,"予定重複の可能性","")))</f>
        <v/>
      </c>
      <c r="I24" s="93" t="str">
        <f>IF(OR($AF24="",I$7=""),"",IF(AND($AI24=1,$AG24&lt;I$7+TTStep,$AH24&gt;I$7),IF(COUNTIFS(tblSteps[担当],$AJ24,tblSteps[重複対象],1,tblSteps[開始分],"&lt;"&amp;(I$7+TTStep),tblSteps[終了分],"&gt;"&amp;I$7)-$AK24&gt;0,"重","■"),""))</f>
        <v/>
      </c>
      <c r="J24" s="93" t="str">
        <f>IF(OR($AF24="",J$7=""),"",IF(AND($AI24=1,$AG24&lt;J$7+TTStep,$AH24&gt;J$7),IF(COUNTIFS(tblSteps[担当],$AJ24,tblSteps[重複対象],1,tblSteps[開始分],"&lt;"&amp;(J$7+TTStep),tblSteps[終了分],"&gt;"&amp;J$7)-$AK24&gt;0,"重","■"),""))</f>
        <v/>
      </c>
      <c r="K24" s="93" t="str">
        <f>IF(OR($AF24="",K$7=""),"",IF(AND($AI24=1,$AG24&lt;K$7+TTStep,$AH24&gt;K$7),IF(COUNTIFS(tblSteps[担当],$AJ24,tblSteps[重複対象],1,tblSteps[開始分],"&lt;"&amp;(K$7+TTStep),tblSteps[終了分],"&gt;"&amp;K$7)-$AK24&gt;0,"重","■"),""))</f>
        <v/>
      </c>
      <c r="L24" s="93" t="str">
        <f>IF(OR($AF24="",L$7=""),"",IF(AND($AI24=1,$AG24&lt;L$7+TTStep,$AH24&gt;L$7),IF(COUNTIFS(tblSteps[担当],$AJ24,tblSteps[重複対象],1,tblSteps[開始分],"&lt;"&amp;(L$7+TTStep),tblSteps[終了分],"&gt;"&amp;L$7)-$AK24&gt;0,"重","■"),""))</f>
        <v/>
      </c>
      <c r="M24" s="93" t="str">
        <f>IF(OR($AF24="",M$7=""),"",IF(AND($AI24=1,$AG24&lt;M$7+TTStep,$AH24&gt;M$7),IF(COUNTIFS(tblSteps[担当],$AJ24,tblSteps[重複対象],1,tblSteps[開始分],"&lt;"&amp;(M$7+TTStep),tblSteps[終了分],"&gt;"&amp;M$7)-$AK24&gt;0,"重","■"),""))</f>
        <v/>
      </c>
      <c r="N24" s="93" t="str">
        <f>IF(OR($AF24="",N$7=""),"",IF(AND($AI24=1,$AG24&lt;N$7+TTStep,$AH24&gt;N$7),IF(COUNTIFS(tblSteps[担当],$AJ24,tblSteps[重複対象],1,tblSteps[開始分],"&lt;"&amp;(N$7+TTStep),tblSteps[終了分],"&gt;"&amp;N$7)-$AK24&gt;0,"重","■"),""))</f>
        <v/>
      </c>
      <c r="O24" s="93" t="str">
        <f>IF(OR($AF24="",O$7=""),"",IF(AND($AI24=1,$AG24&lt;O$7+TTStep,$AH24&gt;O$7),IF(COUNTIFS(tblSteps[担当],$AJ24,tblSteps[重複対象],1,tblSteps[開始分],"&lt;"&amp;(O$7+TTStep),tblSteps[終了分],"&gt;"&amp;O$7)-$AK24&gt;0,"重","■"),""))</f>
        <v/>
      </c>
      <c r="P24" s="93" t="str">
        <f>IF(OR($AF24="",P$7=""),"",IF(AND($AI24=1,$AG24&lt;P$7+TTStep,$AH24&gt;P$7),IF(COUNTIFS(tblSteps[担当],$AJ24,tblSteps[重複対象],1,tblSteps[開始分],"&lt;"&amp;(P$7+TTStep),tblSteps[終了分],"&gt;"&amp;P$7)-$AK24&gt;0,"重","■"),""))</f>
        <v/>
      </c>
      <c r="Q24" s="93" t="str">
        <f>IF(OR($AF24="",Q$7=""),"",IF(AND($AI24=1,$AG24&lt;Q$7+TTStep,$AH24&gt;Q$7),IF(COUNTIFS(tblSteps[担当],$AJ24,tblSteps[重複対象],1,tblSteps[開始分],"&lt;"&amp;(Q$7+TTStep),tblSteps[終了分],"&gt;"&amp;Q$7)-$AK24&gt;0,"重","■"),""))</f>
        <v/>
      </c>
      <c r="R24" s="93" t="str">
        <f>IF(OR($AF24="",R$7=""),"",IF(AND($AI24=1,$AG24&lt;R$7+TTStep,$AH24&gt;R$7),IF(COUNTIFS(tblSteps[担当],$AJ24,tblSteps[重複対象],1,tblSteps[開始分],"&lt;"&amp;(R$7+TTStep),tblSteps[終了分],"&gt;"&amp;R$7)-$AK24&gt;0,"重","■"),""))</f>
        <v/>
      </c>
      <c r="S24" s="93" t="str">
        <f>IF(OR($AF24="",S$7=""),"",IF(AND($AI24=1,$AG24&lt;S$7+TTStep,$AH24&gt;S$7),IF(COUNTIFS(tblSteps[担当],$AJ24,tblSteps[重複対象],1,tblSteps[開始分],"&lt;"&amp;(S$7+TTStep),tblSteps[終了分],"&gt;"&amp;S$7)-$AK24&gt;0,"重","■"),""))</f>
        <v/>
      </c>
      <c r="T24" s="93" t="str">
        <f>IF(OR($AF24="",T$7=""),"",IF(AND($AI24=1,$AG24&lt;T$7+TTStep,$AH24&gt;T$7),IF(COUNTIFS(tblSteps[担当],$AJ24,tblSteps[重複対象],1,tblSteps[開始分],"&lt;"&amp;(T$7+TTStep),tblSteps[終了分],"&gt;"&amp;T$7)-$AK24&gt;0,"重","■"),""))</f>
        <v/>
      </c>
      <c r="U24" s="93" t="str">
        <f>IF(OR($AF24="",U$7=""),"",IF(AND($AI24=1,$AG24&lt;U$7+TTStep,$AH24&gt;U$7),IF(COUNTIFS(tblSteps[担当],$AJ24,tblSteps[重複対象],1,tblSteps[開始分],"&lt;"&amp;(U$7+TTStep),tblSteps[終了分],"&gt;"&amp;U$7)-$AK24&gt;0,"重","■"),""))</f>
        <v/>
      </c>
      <c r="V24" s="93" t="str">
        <f>IF(OR($AF24="",V$7=""),"",IF(AND($AI24=1,$AG24&lt;V$7+TTStep,$AH24&gt;V$7),IF(COUNTIFS(tblSteps[担当],$AJ24,tblSteps[重複対象],1,tblSteps[開始分],"&lt;"&amp;(V$7+TTStep),tblSteps[終了分],"&gt;"&amp;V$7)-$AK24&gt;0,"重","■"),""))</f>
        <v/>
      </c>
      <c r="W24" s="93" t="str">
        <f>IF(OR($AF24="",W$7=""),"",IF(AND($AI24=1,$AG24&lt;W$7+TTStep,$AH24&gt;W$7),IF(COUNTIFS(tblSteps[担当],$AJ24,tblSteps[重複対象],1,tblSteps[開始分],"&lt;"&amp;(W$7+TTStep),tblSteps[終了分],"&gt;"&amp;W$7)-$AK24&gt;0,"重","■"),""))</f>
        <v/>
      </c>
      <c r="X24" s="93" t="str">
        <f>IF(OR($AF24="",X$7=""),"",IF(AND($AI24=1,$AG24&lt;X$7+TTStep,$AH24&gt;X$7),IF(COUNTIFS(tblSteps[担当],$AJ24,tblSteps[重複対象],1,tblSteps[開始分],"&lt;"&amp;(X$7+TTStep),tblSteps[終了分],"&gt;"&amp;X$7)-$AK24&gt;0,"重","■"),""))</f>
        <v/>
      </c>
      <c r="Y24" s="93" t="str">
        <f>IF(OR($AF24="",Y$7=""),"",IF(AND($AI24=1,$AG24&lt;Y$7+TTStep,$AH24&gt;Y$7),IF(COUNTIFS(tblSteps[担当],$AJ24,tblSteps[重複対象],1,tblSteps[開始分],"&lt;"&amp;(Y$7+TTStep),tblSteps[終了分],"&gt;"&amp;Y$7)-$AK24&gt;0,"重","■"),""))</f>
        <v/>
      </c>
      <c r="Z24" s="93" t="str">
        <f>IF(OR($AF24="",Z$7=""),"",IF(AND($AI24=1,$AG24&lt;Z$7+TTStep,$AH24&gt;Z$7),IF(COUNTIFS(tblSteps[担当],$AJ24,tblSteps[重複対象],1,tblSteps[開始分],"&lt;"&amp;(Z$7+TTStep),tblSteps[終了分],"&gt;"&amp;Z$7)-$AK24&gt;0,"重","■"),""))</f>
        <v/>
      </c>
      <c r="AA24" s="93" t="str">
        <f>IF(OR($AF24="",AA$7=""),"",IF(AND($AI24=1,$AG24&lt;AA$7+TTStep,$AH24&gt;AA$7),IF(COUNTIFS(tblSteps[担当],$AJ24,tblSteps[重複対象],1,tblSteps[開始分],"&lt;"&amp;(AA$7+TTStep),tblSteps[終了分],"&gt;"&amp;AA$7)-$AK24&gt;0,"重","■"),""))</f>
        <v/>
      </c>
      <c r="AB24" s="93" t="str">
        <f>IF(OR($AF24="",AB$7=""),"",IF(AND($AI24=1,$AG24&lt;AB$7+TTStep,$AH24&gt;AB$7),IF(COUNTIFS(tblSteps[担当],$AJ24,tblSteps[重複対象],1,tblSteps[開始分],"&lt;"&amp;(AB$7+TTStep),tblSteps[終了分],"&gt;"&amp;AB$7)-$AK24&gt;0,"重","■"),""))</f>
        <v/>
      </c>
      <c r="AC24" s="93" t="str">
        <f>IF(OR($AF24="",AC$7=""),"",IF(AND($AI24=1,$AG24&lt;AC$7+TTStep,$AH24&gt;AC$7),IF(COUNTIFS(tblSteps[担当],$AJ24,tblSteps[重複対象],1,tblSteps[開始分],"&lt;"&amp;(AC$7+TTStep),tblSteps[終了分],"&gt;"&amp;AC$7)-$AK24&gt;0,"重","■"),""))</f>
        <v/>
      </c>
      <c r="AD24" s="93" t="str">
        <f>IF(OR($AF24="",AD$7=""),"",IF(AND($AI24=1,$AG24&lt;AD$7+TTStep,$AH24&gt;AD$7),IF(COUNTIFS(tblSteps[担当],$AJ24,tblSteps[重複対象],1,tblSteps[開始分],"&lt;"&amp;(AD$7+TTStep),tblSteps[終了分],"&gt;"&amp;AD$7)-$AK24&gt;0,"重","■"),""))</f>
        <v/>
      </c>
      <c r="AF24" t="str">
        <f>IF(17&gt;COUNTIF(tblSteps[時間割対象],1),"",IFERROR(MATCH(17,tblSteps[時間割順位],0),""))</f>
        <v/>
      </c>
      <c r="AG24" t="str">
        <f>IF($AF24="","",INDEX(tblSteps[開始分],$AF24))</f>
        <v/>
      </c>
      <c r="AH24" t="str">
        <f>IF($AF24="","",INDEX(tblSteps[終了分],$AF24))</f>
        <v/>
      </c>
      <c r="AI24" t="str">
        <f>IF($AF24="","",INDEX(tblSteps[時刻OK],$AF24))</f>
        <v/>
      </c>
      <c r="AJ24" t="str">
        <f>IF($AF24="","",INDEX(tblSteps[担当],$AF24))</f>
        <v/>
      </c>
      <c r="AK24" t="str">
        <f>IF($AF24="","",INDEX(tblSteps[重複対象],$AF24))</f>
        <v/>
      </c>
      <c r="AL24" t="str">
        <f>IF($AF24="","",INDEX(tblSteps[案件ID],$AF24))</f>
        <v/>
      </c>
    </row>
    <row r="25" ht="20" customHeight="1">
      <c r="A25" s="89" t="str">
        <f>IF($AF25="","",INDEX(tblSteps[工程ID],$AF25)&amp;"")</f>
        <v/>
      </c>
      <c r="B25" s="88" t="str">
        <f>IF($AF25="","",$AL25&amp;" "&amp;INDEX(tblSteps[案件名],$AF25))</f>
        <v/>
      </c>
      <c r="C25" s="88" t="str">
        <f>IF($AF25="","",INDEX(tblSteps[工程名],$AF25)&amp;"")</f>
        <v/>
      </c>
      <c r="D25" s="89" t="str">
        <f>IF($AF25="","",$AJ25&amp;"")</f>
        <v/>
      </c>
      <c r="E25" s="103" t="str">
        <f>IF($AF25="","",IF($AI25=1,$AG25/1440,INDEX(tblSteps[計画開始日],$AF25)))</f>
        <v/>
      </c>
      <c r="F25" s="103" t="str">
        <f>IF($AF25="","",IF($AI25=1,$AH25/1440,INDEX(tblSteps[計画終了日],$AF25)))</f>
        <v/>
      </c>
      <c r="G25" s="89" t="str">
        <f>IF($AF25="","",INDEX(tblSteps[状態],$AF25)&amp;"")</f>
        <v/>
      </c>
      <c r="H25" s="92" t="str">
        <f>IF($AF25="","",_xlfn.TEXTJOIN("／",TRUE,IF($AI25=0,"終了日時が開始日時以前",""),IF(AND($AI25=1,OR($AH25&lt;=TTDate*1440+ROUND(TTStart*1440,0),$AG25&gt;=TTDate*1440+ROUND(TTEnd*1440,0))),"表示時間外",""),IF(AND($AI25=1,$AG25&lt;TTDate*1440),"前日から継続",""),IF(AND($AI25=1,$AH25&gt;TTDate*1440+1440),"翌日へ継続",""),IF(INDEX(tblSteps[重複数],$AF25)&gt;0,"予定重複の可能性","")))</f>
        <v/>
      </c>
      <c r="I25" s="93" t="str">
        <f>IF(OR($AF25="",I$7=""),"",IF(AND($AI25=1,$AG25&lt;I$7+TTStep,$AH25&gt;I$7),IF(COUNTIFS(tblSteps[担当],$AJ25,tblSteps[重複対象],1,tblSteps[開始分],"&lt;"&amp;(I$7+TTStep),tblSteps[終了分],"&gt;"&amp;I$7)-$AK25&gt;0,"重","■"),""))</f>
        <v/>
      </c>
      <c r="J25" s="93" t="str">
        <f>IF(OR($AF25="",J$7=""),"",IF(AND($AI25=1,$AG25&lt;J$7+TTStep,$AH25&gt;J$7),IF(COUNTIFS(tblSteps[担当],$AJ25,tblSteps[重複対象],1,tblSteps[開始分],"&lt;"&amp;(J$7+TTStep),tblSteps[終了分],"&gt;"&amp;J$7)-$AK25&gt;0,"重","■"),""))</f>
        <v/>
      </c>
      <c r="K25" s="93" t="str">
        <f>IF(OR($AF25="",K$7=""),"",IF(AND($AI25=1,$AG25&lt;K$7+TTStep,$AH25&gt;K$7),IF(COUNTIFS(tblSteps[担当],$AJ25,tblSteps[重複対象],1,tblSteps[開始分],"&lt;"&amp;(K$7+TTStep),tblSteps[終了分],"&gt;"&amp;K$7)-$AK25&gt;0,"重","■"),""))</f>
        <v/>
      </c>
      <c r="L25" s="93" t="str">
        <f>IF(OR($AF25="",L$7=""),"",IF(AND($AI25=1,$AG25&lt;L$7+TTStep,$AH25&gt;L$7),IF(COUNTIFS(tblSteps[担当],$AJ25,tblSteps[重複対象],1,tblSteps[開始分],"&lt;"&amp;(L$7+TTStep),tblSteps[終了分],"&gt;"&amp;L$7)-$AK25&gt;0,"重","■"),""))</f>
        <v/>
      </c>
      <c r="M25" s="93" t="str">
        <f>IF(OR($AF25="",M$7=""),"",IF(AND($AI25=1,$AG25&lt;M$7+TTStep,$AH25&gt;M$7),IF(COUNTIFS(tblSteps[担当],$AJ25,tblSteps[重複対象],1,tblSteps[開始分],"&lt;"&amp;(M$7+TTStep),tblSteps[終了分],"&gt;"&amp;M$7)-$AK25&gt;0,"重","■"),""))</f>
        <v/>
      </c>
      <c r="N25" s="93" t="str">
        <f>IF(OR($AF25="",N$7=""),"",IF(AND($AI25=1,$AG25&lt;N$7+TTStep,$AH25&gt;N$7),IF(COUNTIFS(tblSteps[担当],$AJ25,tblSteps[重複対象],1,tblSteps[開始分],"&lt;"&amp;(N$7+TTStep),tblSteps[終了分],"&gt;"&amp;N$7)-$AK25&gt;0,"重","■"),""))</f>
        <v/>
      </c>
      <c r="O25" s="93" t="str">
        <f>IF(OR($AF25="",O$7=""),"",IF(AND($AI25=1,$AG25&lt;O$7+TTStep,$AH25&gt;O$7),IF(COUNTIFS(tblSteps[担当],$AJ25,tblSteps[重複対象],1,tblSteps[開始分],"&lt;"&amp;(O$7+TTStep),tblSteps[終了分],"&gt;"&amp;O$7)-$AK25&gt;0,"重","■"),""))</f>
        <v/>
      </c>
      <c r="P25" s="93" t="str">
        <f>IF(OR($AF25="",P$7=""),"",IF(AND($AI25=1,$AG25&lt;P$7+TTStep,$AH25&gt;P$7),IF(COUNTIFS(tblSteps[担当],$AJ25,tblSteps[重複対象],1,tblSteps[開始分],"&lt;"&amp;(P$7+TTStep),tblSteps[終了分],"&gt;"&amp;P$7)-$AK25&gt;0,"重","■"),""))</f>
        <v/>
      </c>
      <c r="Q25" s="93" t="str">
        <f>IF(OR($AF25="",Q$7=""),"",IF(AND($AI25=1,$AG25&lt;Q$7+TTStep,$AH25&gt;Q$7),IF(COUNTIFS(tblSteps[担当],$AJ25,tblSteps[重複対象],1,tblSteps[開始分],"&lt;"&amp;(Q$7+TTStep),tblSteps[終了分],"&gt;"&amp;Q$7)-$AK25&gt;0,"重","■"),""))</f>
        <v/>
      </c>
      <c r="R25" s="93" t="str">
        <f>IF(OR($AF25="",R$7=""),"",IF(AND($AI25=1,$AG25&lt;R$7+TTStep,$AH25&gt;R$7),IF(COUNTIFS(tblSteps[担当],$AJ25,tblSteps[重複対象],1,tblSteps[開始分],"&lt;"&amp;(R$7+TTStep),tblSteps[終了分],"&gt;"&amp;R$7)-$AK25&gt;0,"重","■"),""))</f>
        <v/>
      </c>
      <c r="S25" s="93" t="str">
        <f>IF(OR($AF25="",S$7=""),"",IF(AND($AI25=1,$AG25&lt;S$7+TTStep,$AH25&gt;S$7),IF(COUNTIFS(tblSteps[担当],$AJ25,tblSteps[重複対象],1,tblSteps[開始分],"&lt;"&amp;(S$7+TTStep),tblSteps[終了分],"&gt;"&amp;S$7)-$AK25&gt;0,"重","■"),""))</f>
        <v/>
      </c>
      <c r="T25" s="93" t="str">
        <f>IF(OR($AF25="",T$7=""),"",IF(AND($AI25=1,$AG25&lt;T$7+TTStep,$AH25&gt;T$7),IF(COUNTIFS(tblSteps[担当],$AJ25,tblSteps[重複対象],1,tblSteps[開始分],"&lt;"&amp;(T$7+TTStep),tblSteps[終了分],"&gt;"&amp;T$7)-$AK25&gt;0,"重","■"),""))</f>
        <v/>
      </c>
      <c r="U25" s="93" t="str">
        <f>IF(OR($AF25="",U$7=""),"",IF(AND($AI25=1,$AG25&lt;U$7+TTStep,$AH25&gt;U$7),IF(COUNTIFS(tblSteps[担当],$AJ25,tblSteps[重複対象],1,tblSteps[開始分],"&lt;"&amp;(U$7+TTStep),tblSteps[終了分],"&gt;"&amp;U$7)-$AK25&gt;0,"重","■"),""))</f>
        <v/>
      </c>
      <c r="V25" s="93" t="str">
        <f>IF(OR($AF25="",V$7=""),"",IF(AND($AI25=1,$AG25&lt;V$7+TTStep,$AH25&gt;V$7),IF(COUNTIFS(tblSteps[担当],$AJ25,tblSteps[重複対象],1,tblSteps[開始分],"&lt;"&amp;(V$7+TTStep),tblSteps[終了分],"&gt;"&amp;V$7)-$AK25&gt;0,"重","■"),""))</f>
        <v/>
      </c>
      <c r="W25" s="93" t="str">
        <f>IF(OR($AF25="",W$7=""),"",IF(AND($AI25=1,$AG25&lt;W$7+TTStep,$AH25&gt;W$7),IF(COUNTIFS(tblSteps[担当],$AJ25,tblSteps[重複対象],1,tblSteps[開始分],"&lt;"&amp;(W$7+TTStep),tblSteps[終了分],"&gt;"&amp;W$7)-$AK25&gt;0,"重","■"),""))</f>
        <v/>
      </c>
      <c r="X25" s="93" t="str">
        <f>IF(OR($AF25="",X$7=""),"",IF(AND($AI25=1,$AG25&lt;X$7+TTStep,$AH25&gt;X$7),IF(COUNTIFS(tblSteps[担当],$AJ25,tblSteps[重複対象],1,tblSteps[開始分],"&lt;"&amp;(X$7+TTStep),tblSteps[終了分],"&gt;"&amp;X$7)-$AK25&gt;0,"重","■"),""))</f>
        <v/>
      </c>
      <c r="Y25" s="93" t="str">
        <f>IF(OR($AF25="",Y$7=""),"",IF(AND($AI25=1,$AG25&lt;Y$7+TTStep,$AH25&gt;Y$7),IF(COUNTIFS(tblSteps[担当],$AJ25,tblSteps[重複対象],1,tblSteps[開始分],"&lt;"&amp;(Y$7+TTStep),tblSteps[終了分],"&gt;"&amp;Y$7)-$AK25&gt;0,"重","■"),""))</f>
        <v/>
      </c>
      <c r="Z25" s="93" t="str">
        <f>IF(OR($AF25="",Z$7=""),"",IF(AND($AI25=1,$AG25&lt;Z$7+TTStep,$AH25&gt;Z$7),IF(COUNTIFS(tblSteps[担当],$AJ25,tblSteps[重複対象],1,tblSteps[開始分],"&lt;"&amp;(Z$7+TTStep),tblSteps[終了分],"&gt;"&amp;Z$7)-$AK25&gt;0,"重","■"),""))</f>
        <v/>
      </c>
      <c r="AA25" s="93" t="str">
        <f>IF(OR($AF25="",AA$7=""),"",IF(AND($AI25=1,$AG25&lt;AA$7+TTStep,$AH25&gt;AA$7),IF(COUNTIFS(tblSteps[担当],$AJ25,tblSteps[重複対象],1,tblSteps[開始分],"&lt;"&amp;(AA$7+TTStep),tblSteps[終了分],"&gt;"&amp;AA$7)-$AK25&gt;0,"重","■"),""))</f>
        <v/>
      </c>
      <c r="AB25" s="93" t="str">
        <f>IF(OR($AF25="",AB$7=""),"",IF(AND($AI25=1,$AG25&lt;AB$7+TTStep,$AH25&gt;AB$7),IF(COUNTIFS(tblSteps[担当],$AJ25,tblSteps[重複対象],1,tblSteps[開始分],"&lt;"&amp;(AB$7+TTStep),tblSteps[終了分],"&gt;"&amp;AB$7)-$AK25&gt;0,"重","■"),""))</f>
        <v/>
      </c>
      <c r="AC25" s="93" t="str">
        <f>IF(OR($AF25="",AC$7=""),"",IF(AND($AI25=1,$AG25&lt;AC$7+TTStep,$AH25&gt;AC$7),IF(COUNTIFS(tblSteps[担当],$AJ25,tblSteps[重複対象],1,tblSteps[開始分],"&lt;"&amp;(AC$7+TTStep),tblSteps[終了分],"&gt;"&amp;AC$7)-$AK25&gt;0,"重","■"),""))</f>
        <v/>
      </c>
      <c r="AD25" s="93" t="str">
        <f>IF(OR($AF25="",AD$7=""),"",IF(AND($AI25=1,$AG25&lt;AD$7+TTStep,$AH25&gt;AD$7),IF(COUNTIFS(tblSteps[担当],$AJ25,tblSteps[重複対象],1,tblSteps[開始分],"&lt;"&amp;(AD$7+TTStep),tblSteps[終了分],"&gt;"&amp;AD$7)-$AK25&gt;0,"重","■"),""))</f>
        <v/>
      </c>
      <c r="AF25" t="str">
        <f>IF(18&gt;COUNTIF(tblSteps[時間割対象],1),"",IFERROR(MATCH(18,tblSteps[時間割順位],0),""))</f>
        <v/>
      </c>
      <c r="AG25" t="str">
        <f>IF($AF25="","",INDEX(tblSteps[開始分],$AF25))</f>
        <v/>
      </c>
      <c r="AH25" t="str">
        <f>IF($AF25="","",INDEX(tblSteps[終了分],$AF25))</f>
        <v/>
      </c>
      <c r="AI25" t="str">
        <f>IF($AF25="","",INDEX(tblSteps[時刻OK],$AF25))</f>
        <v/>
      </c>
      <c r="AJ25" t="str">
        <f>IF($AF25="","",INDEX(tblSteps[担当],$AF25))</f>
        <v/>
      </c>
      <c r="AK25" t="str">
        <f>IF($AF25="","",INDEX(tblSteps[重複対象],$AF25))</f>
        <v/>
      </c>
      <c r="AL25" t="str">
        <f>IF($AF25="","",INDEX(tblSteps[案件ID],$AF25))</f>
        <v/>
      </c>
    </row>
    <row r="26" ht="20" customHeight="1">
      <c r="A26" s="89" t="str">
        <f>IF($AF26="","",INDEX(tblSteps[工程ID],$AF26)&amp;"")</f>
        <v/>
      </c>
      <c r="B26" s="88" t="str">
        <f>IF($AF26="","",$AL26&amp;" "&amp;INDEX(tblSteps[案件名],$AF26))</f>
        <v/>
      </c>
      <c r="C26" s="88" t="str">
        <f>IF($AF26="","",INDEX(tblSteps[工程名],$AF26)&amp;"")</f>
        <v/>
      </c>
      <c r="D26" s="89" t="str">
        <f>IF($AF26="","",$AJ26&amp;"")</f>
        <v/>
      </c>
      <c r="E26" s="103" t="str">
        <f>IF($AF26="","",IF($AI26=1,$AG26/1440,INDEX(tblSteps[計画開始日],$AF26)))</f>
        <v/>
      </c>
      <c r="F26" s="103" t="str">
        <f>IF($AF26="","",IF($AI26=1,$AH26/1440,INDEX(tblSteps[計画終了日],$AF26)))</f>
        <v/>
      </c>
      <c r="G26" s="89" t="str">
        <f>IF($AF26="","",INDEX(tblSteps[状態],$AF26)&amp;"")</f>
        <v/>
      </c>
      <c r="H26" s="92" t="str">
        <f>IF($AF26="","",_xlfn.TEXTJOIN("／",TRUE,IF($AI26=0,"終了日時が開始日時以前",""),IF(AND($AI26=1,OR($AH26&lt;=TTDate*1440+ROUND(TTStart*1440,0),$AG26&gt;=TTDate*1440+ROUND(TTEnd*1440,0))),"表示時間外",""),IF(AND($AI26=1,$AG26&lt;TTDate*1440),"前日から継続",""),IF(AND($AI26=1,$AH26&gt;TTDate*1440+1440),"翌日へ継続",""),IF(INDEX(tblSteps[重複数],$AF26)&gt;0,"予定重複の可能性","")))</f>
        <v/>
      </c>
      <c r="I26" s="93" t="str">
        <f>IF(OR($AF26="",I$7=""),"",IF(AND($AI26=1,$AG26&lt;I$7+TTStep,$AH26&gt;I$7),IF(COUNTIFS(tblSteps[担当],$AJ26,tblSteps[重複対象],1,tblSteps[開始分],"&lt;"&amp;(I$7+TTStep),tblSteps[終了分],"&gt;"&amp;I$7)-$AK26&gt;0,"重","■"),""))</f>
        <v/>
      </c>
      <c r="J26" s="93" t="str">
        <f>IF(OR($AF26="",J$7=""),"",IF(AND($AI26=1,$AG26&lt;J$7+TTStep,$AH26&gt;J$7),IF(COUNTIFS(tblSteps[担当],$AJ26,tblSteps[重複対象],1,tblSteps[開始分],"&lt;"&amp;(J$7+TTStep),tblSteps[終了分],"&gt;"&amp;J$7)-$AK26&gt;0,"重","■"),""))</f>
        <v/>
      </c>
      <c r="K26" s="93" t="str">
        <f>IF(OR($AF26="",K$7=""),"",IF(AND($AI26=1,$AG26&lt;K$7+TTStep,$AH26&gt;K$7),IF(COUNTIFS(tblSteps[担当],$AJ26,tblSteps[重複対象],1,tblSteps[開始分],"&lt;"&amp;(K$7+TTStep),tblSteps[終了分],"&gt;"&amp;K$7)-$AK26&gt;0,"重","■"),""))</f>
        <v/>
      </c>
      <c r="L26" s="93" t="str">
        <f>IF(OR($AF26="",L$7=""),"",IF(AND($AI26=1,$AG26&lt;L$7+TTStep,$AH26&gt;L$7),IF(COUNTIFS(tblSteps[担当],$AJ26,tblSteps[重複対象],1,tblSteps[開始分],"&lt;"&amp;(L$7+TTStep),tblSteps[終了分],"&gt;"&amp;L$7)-$AK26&gt;0,"重","■"),""))</f>
        <v/>
      </c>
      <c r="M26" s="93" t="str">
        <f>IF(OR($AF26="",M$7=""),"",IF(AND($AI26=1,$AG26&lt;M$7+TTStep,$AH26&gt;M$7),IF(COUNTIFS(tblSteps[担当],$AJ26,tblSteps[重複対象],1,tblSteps[開始分],"&lt;"&amp;(M$7+TTStep),tblSteps[終了分],"&gt;"&amp;M$7)-$AK26&gt;0,"重","■"),""))</f>
        <v/>
      </c>
      <c r="N26" s="93" t="str">
        <f>IF(OR($AF26="",N$7=""),"",IF(AND($AI26=1,$AG26&lt;N$7+TTStep,$AH26&gt;N$7),IF(COUNTIFS(tblSteps[担当],$AJ26,tblSteps[重複対象],1,tblSteps[開始分],"&lt;"&amp;(N$7+TTStep),tblSteps[終了分],"&gt;"&amp;N$7)-$AK26&gt;0,"重","■"),""))</f>
        <v/>
      </c>
      <c r="O26" s="93" t="str">
        <f>IF(OR($AF26="",O$7=""),"",IF(AND($AI26=1,$AG26&lt;O$7+TTStep,$AH26&gt;O$7),IF(COUNTIFS(tblSteps[担当],$AJ26,tblSteps[重複対象],1,tblSteps[開始分],"&lt;"&amp;(O$7+TTStep),tblSteps[終了分],"&gt;"&amp;O$7)-$AK26&gt;0,"重","■"),""))</f>
        <v/>
      </c>
      <c r="P26" s="93" t="str">
        <f>IF(OR($AF26="",P$7=""),"",IF(AND($AI26=1,$AG26&lt;P$7+TTStep,$AH26&gt;P$7),IF(COUNTIFS(tblSteps[担当],$AJ26,tblSteps[重複対象],1,tblSteps[開始分],"&lt;"&amp;(P$7+TTStep),tblSteps[終了分],"&gt;"&amp;P$7)-$AK26&gt;0,"重","■"),""))</f>
        <v/>
      </c>
      <c r="Q26" s="93" t="str">
        <f>IF(OR($AF26="",Q$7=""),"",IF(AND($AI26=1,$AG26&lt;Q$7+TTStep,$AH26&gt;Q$7),IF(COUNTIFS(tblSteps[担当],$AJ26,tblSteps[重複対象],1,tblSteps[開始分],"&lt;"&amp;(Q$7+TTStep),tblSteps[終了分],"&gt;"&amp;Q$7)-$AK26&gt;0,"重","■"),""))</f>
        <v/>
      </c>
      <c r="R26" s="93" t="str">
        <f>IF(OR($AF26="",R$7=""),"",IF(AND($AI26=1,$AG26&lt;R$7+TTStep,$AH26&gt;R$7),IF(COUNTIFS(tblSteps[担当],$AJ26,tblSteps[重複対象],1,tblSteps[開始分],"&lt;"&amp;(R$7+TTStep),tblSteps[終了分],"&gt;"&amp;R$7)-$AK26&gt;0,"重","■"),""))</f>
        <v/>
      </c>
      <c r="S26" s="93" t="str">
        <f>IF(OR($AF26="",S$7=""),"",IF(AND($AI26=1,$AG26&lt;S$7+TTStep,$AH26&gt;S$7),IF(COUNTIFS(tblSteps[担当],$AJ26,tblSteps[重複対象],1,tblSteps[開始分],"&lt;"&amp;(S$7+TTStep),tblSteps[終了分],"&gt;"&amp;S$7)-$AK26&gt;0,"重","■"),""))</f>
        <v/>
      </c>
      <c r="T26" s="93" t="str">
        <f>IF(OR($AF26="",T$7=""),"",IF(AND($AI26=1,$AG26&lt;T$7+TTStep,$AH26&gt;T$7),IF(COUNTIFS(tblSteps[担当],$AJ26,tblSteps[重複対象],1,tblSteps[開始分],"&lt;"&amp;(T$7+TTStep),tblSteps[終了分],"&gt;"&amp;T$7)-$AK26&gt;0,"重","■"),""))</f>
        <v/>
      </c>
      <c r="U26" s="93" t="str">
        <f>IF(OR($AF26="",U$7=""),"",IF(AND($AI26=1,$AG26&lt;U$7+TTStep,$AH26&gt;U$7),IF(COUNTIFS(tblSteps[担当],$AJ26,tblSteps[重複対象],1,tblSteps[開始分],"&lt;"&amp;(U$7+TTStep),tblSteps[終了分],"&gt;"&amp;U$7)-$AK26&gt;0,"重","■"),""))</f>
        <v/>
      </c>
      <c r="V26" s="93" t="str">
        <f>IF(OR($AF26="",V$7=""),"",IF(AND($AI26=1,$AG26&lt;V$7+TTStep,$AH26&gt;V$7),IF(COUNTIFS(tblSteps[担当],$AJ26,tblSteps[重複対象],1,tblSteps[開始分],"&lt;"&amp;(V$7+TTStep),tblSteps[終了分],"&gt;"&amp;V$7)-$AK26&gt;0,"重","■"),""))</f>
        <v/>
      </c>
      <c r="W26" s="93" t="str">
        <f>IF(OR($AF26="",W$7=""),"",IF(AND($AI26=1,$AG26&lt;W$7+TTStep,$AH26&gt;W$7),IF(COUNTIFS(tblSteps[担当],$AJ26,tblSteps[重複対象],1,tblSteps[開始分],"&lt;"&amp;(W$7+TTStep),tblSteps[終了分],"&gt;"&amp;W$7)-$AK26&gt;0,"重","■"),""))</f>
        <v/>
      </c>
      <c r="X26" s="93" t="str">
        <f>IF(OR($AF26="",X$7=""),"",IF(AND($AI26=1,$AG26&lt;X$7+TTStep,$AH26&gt;X$7),IF(COUNTIFS(tblSteps[担当],$AJ26,tblSteps[重複対象],1,tblSteps[開始分],"&lt;"&amp;(X$7+TTStep),tblSteps[終了分],"&gt;"&amp;X$7)-$AK26&gt;0,"重","■"),""))</f>
        <v/>
      </c>
      <c r="Y26" s="93" t="str">
        <f>IF(OR($AF26="",Y$7=""),"",IF(AND($AI26=1,$AG26&lt;Y$7+TTStep,$AH26&gt;Y$7),IF(COUNTIFS(tblSteps[担当],$AJ26,tblSteps[重複対象],1,tblSteps[開始分],"&lt;"&amp;(Y$7+TTStep),tblSteps[終了分],"&gt;"&amp;Y$7)-$AK26&gt;0,"重","■"),""))</f>
        <v/>
      </c>
      <c r="Z26" s="93" t="str">
        <f>IF(OR($AF26="",Z$7=""),"",IF(AND($AI26=1,$AG26&lt;Z$7+TTStep,$AH26&gt;Z$7),IF(COUNTIFS(tblSteps[担当],$AJ26,tblSteps[重複対象],1,tblSteps[開始分],"&lt;"&amp;(Z$7+TTStep),tblSteps[終了分],"&gt;"&amp;Z$7)-$AK26&gt;0,"重","■"),""))</f>
        <v/>
      </c>
      <c r="AA26" s="93" t="str">
        <f>IF(OR($AF26="",AA$7=""),"",IF(AND($AI26=1,$AG26&lt;AA$7+TTStep,$AH26&gt;AA$7),IF(COUNTIFS(tblSteps[担当],$AJ26,tblSteps[重複対象],1,tblSteps[開始分],"&lt;"&amp;(AA$7+TTStep),tblSteps[終了分],"&gt;"&amp;AA$7)-$AK26&gt;0,"重","■"),""))</f>
        <v/>
      </c>
      <c r="AB26" s="93" t="str">
        <f>IF(OR($AF26="",AB$7=""),"",IF(AND($AI26=1,$AG26&lt;AB$7+TTStep,$AH26&gt;AB$7),IF(COUNTIFS(tblSteps[担当],$AJ26,tblSteps[重複対象],1,tblSteps[開始分],"&lt;"&amp;(AB$7+TTStep),tblSteps[終了分],"&gt;"&amp;AB$7)-$AK26&gt;0,"重","■"),""))</f>
        <v/>
      </c>
      <c r="AC26" s="93" t="str">
        <f>IF(OR($AF26="",AC$7=""),"",IF(AND($AI26=1,$AG26&lt;AC$7+TTStep,$AH26&gt;AC$7),IF(COUNTIFS(tblSteps[担当],$AJ26,tblSteps[重複対象],1,tblSteps[開始分],"&lt;"&amp;(AC$7+TTStep),tblSteps[終了分],"&gt;"&amp;AC$7)-$AK26&gt;0,"重","■"),""))</f>
        <v/>
      </c>
      <c r="AD26" s="93" t="str">
        <f>IF(OR($AF26="",AD$7=""),"",IF(AND($AI26=1,$AG26&lt;AD$7+TTStep,$AH26&gt;AD$7),IF(COUNTIFS(tblSteps[担当],$AJ26,tblSteps[重複対象],1,tblSteps[開始分],"&lt;"&amp;(AD$7+TTStep),tblSteps[終了分],"&gt;"&amp;AD$7)-$AK26&gt;0,"重","■"),""))</f>
        <v/>
      </c>
      <c r="AF26" t="str">
        <f>IF(19&gt;COUNTIF(tblSteps[時間割対象],1),"",IFERROR(MATCH(19,tblSteps[時間割順位],0),""))</f>
        <v/>
      </c>
      <c r="AG26" t="str">
        <f>IF($AF26="","",INDEX(tblSteps[開始分],$AF26))</f>
        <v/>
      </c>
      <c r="AH26" t="str">
        <f>IF($AF26="","",INDEX(tblSteps[終了分],$AF26))</f>
        <v/>
      </c>
      <c r="AI26" t="str">
        <f>IF($AF26="","",INDEX(tblSteps[時刻OK],$AF26))</f>
        <v/>
      </c>
      <c r="AJ26" t="str">
        <f>IF($AF26="","",INDEX(tblSteps[担当],$AF26))</f>
        <v/>
      </c>
      <c r="AK26" t="str">
        <f>IF($AF26="","",INDEX(tblSteps[重複対象],$AF26))</f>
        <v/>
      </c>
      <c r="AL26" t="str">
        <f>IF($AF26="","",INDEX(tblSteps[案件ID],$AF26))</f>
        <v/>
      </c>
    </row>
    <row r="27" ht="20" customHeight="1">
      <c r="A27" s="89" t="str">
        <f>IF($AF27="","",INDEX(tblSteps[工程ID],$AF27)&amp;"")</f>
        <v/>
      </c>
      <c r="B27" s="88" t="str">
        <f>IF($AF27="","",$AL27&amp;" "&amp;INDEX(tblSteps[案件名],$AF27))</f>
        <v/>
      </c>
      <c r="C27" s="88" t="str">
        <f>IF($AF27="","",INDEX(tblSteps[工程名],$AF27)&amp;"")</f>
        <v/>
      </c>
      <c r="D27" s="89" t="str">
        <f>IF($AF27="","",$AJ27&amp;"")</f>
        <v/>
      </c>
      <c r="E27" s="103" t="str">
        <f>IF($AF27="","",IF($AI27=1,$AG27/1440,INDEX(tblSteps[計画開始日],$AF27)))</f>
        <v/>
      </c>
      <c r="F27" s="103" t="str">
        <f>IF($AF27="","",IF($AI27=1,$AH27/1440,INDEX(tblSteps[計画終了日],$AF27)))</f>
        <v/>
      </c>
      <c r="G27" s="89" t="str">
        <f>IF($AF27="","",INDEX(tblSteps[状態],$AF27)&amp;"")</f>
        <v/>
      </c>
      <c r="H27" s="92" t="str">
        <f>IF($AF27="","",_xlfn.TEXTJOIN("／",TRUE,IF($AI27=0,"終了日時が開始日時以前",""),IF(AND($AI27=1,OR($AH27&lt;=TTDate*1440+ROUND(TTStart*1440,0),$AG27&gt;=TTDate*1440+ROUND(TTEnd*1440,0))),"表示時間外",""),IF(AND($AI27=1,$AG27&lt;TTDate*1440),"前日から継続",""),IF(AND($AI27=1,$AH27&gt;TTDate*1440+1440),"翌日へ継続",""),IF(INDEX(tblSteps[重複数],$AF27)&gt;0,"予定重複の可能性","")))</f>
        <v/>
      </c>
      <c r="I27" s="93" t="str">
        <f>IF(OR($AF27="",I$7=""),"",IF(AND($AI27=1,$AG27&lt;I$7+TTStep,$AH27&gt;I$7),IF(COUNTIFS(tblSteps[担当],$AJ27,tblSteps[重複対象],1,tblSteps[開始分],"&lt;"&amp;(I$7+TTStep),tblSteps[終了分],"&gt;"&amp;I$7)-$AK27&gt;0,"重","■"),""))</f>
        <v/>
      </c>
      <c r="J27" s="93" t="str">
        <f>IF(OR($AF27="",J$7=""),"",IF(AND($AI27=1,$AG27&lt;J$7+TTStep,$AH27&gt;J$7),IF(COUNTIFS(tblSteps[担当],$AJ27,tblSteps[重複対象],1,tblSteps[開始分],"&lt;"&amp;(J$7+TTStep),tblSteps[終了分],"&gt;"&amp;J$7)-$AK27&gt;0,"重","■"),""))</f>
        <v/>
      </c>
      <c r="K27" s="93" t="str">
        <f>IF(OR($AF27="",K$7=""),"",IF(AND($AI27=1,$AG27&lt;K$7+TTStep,$AH27&gt;K$7),IF(COUNTIFS(tblSteps[担当],$AJ27,tblSteps[重複対象],1,tblSteps[開始分],"&lt;"&amp;(K$7+TTStep),tblSteps[終了分],"&gt;"&amp;K$7)-$AK27&gt;0,"重","■"),""))</f>
        <v/>
      </c>
      <c r="L27" s="93" t="str">
        <f>IF(OR($AF27="",L$7=""),"",IF(AND($AI27=1,$AG27&lt;L$7+TTStep,$AH27&gt;L$7),IF(COUNTIFS(tblSteps[担当],$AJ27,tblSteps[重複対象],1,tblSteps[開始分],"&lt;"&amp;(L$7+TTStep),tblSteps[終了分],"&gt;"&amp;L$7)-$AK27&gt;0,"重","■"),""))</f>
        <v/>
      </c>
      <c r="M27" s="93" t="str">
        <f>IF(OR($AF27="",M$7=""),"",IF(AND($AI27=1,$AG27&lt;M$7+TTStep,$AH27&gt;M$7),IF(COUNTIFS(tblSteps[担当],$AJ27,tblSteps[重複対象],1,tblSteps[開始分],"&lt;"&amp;(M$7+TTStep),tblSteps[終了分],"&gt;"&amp;M$7)-$AK27&gt;0,"重","■"),""))</f>
        <v/>
      </c>
      <c r="N27" s="93" t="str">
        <f>IF(OR($AF27="",N$7=""),"",IF(AND($AI27=1,$AG27&lt;N$7+TTStep,$AH27&gt;N$7),IF(COUNTIFS(tblSteps[担当],$AJ27,tblSteps[重複対象],1,tblSteps[開始分],"&lt;"&amp;(N$7+TTStep),tblSteps[終了分],"&gt;"&amp;N$7)-$AK27&gt;0,"重","■"),""))</f>
        <v/>
      </c>
      <c r="O27" s="93" t="str">
        <f>IF(OR($AF27="",O$7=""),"",IF(AND($AI27=1,$AG27&lt;O$7+TTStep,$AH27&gt;O$7),IF(COUNTIFS(tblSteps[担当],$AJ27,tblSteps[重複対象],1,tblSteps[開始分],"&lt;"&amp;(O$7+TTStep),tblSteps[終了分],"&gt;"&amp;O$7)-$AK27&gt;0,"重","■"),""))</f>
        <v/>
      </c>
      <c r="P27" s="93" t="str">
        <f>IF(OR($AF27="",P$7=""),"",IF(AND($AI27=1,$AG27&lt;P$7+TTStep,$AH27&gt;P$7),IF(COUNTIFS(tblSteps[担当],$AJ27,tblSteps[重複対象],1,tblSteps[開始分],"&lt;"&amp;(P$7+TTStep),tblSteps[終了分],"&gt;"&amp;P$7)-$AK27&gt;0,"重","■"),""))</f>
        <v/>
      </c>
      <c r="Q27" s="93" t="str">
        <f>IF(OR($AF27="",Q$7=""),"",IF(AND($AI27=1,$AG27&lt;Q$7+TTStep,$AH27&gt;Q$7),IF(COUNTIFS(tblSteps[担当],$AJ27,tblSteps[重複対象],1,tblSteps[開始分],"&lt;"&amp;(Q$7+TTStep),tblSteps[終了分],"&gt;"&amp;Q$7)-$AK27&gt;0,"重","■"),""))</f>
        <v/>
      </c>
      <c r="R27" s="93" t="str">
        <f>IF(OR($AF27="",R$7=""),"",IF(AND($AI27=1,$AG27&lt;R$7+TTStep,$AH27&gt;R$7),IF(COUNTIFS(tblSteps[担当],$AJ27,tblSteps[重複対象],1,tblSteps[開始分],"&lt;"&amp;(R$7+TTStep),tblSteps[終了分],"&gt;"&amp;R$7)-$AK27&gt;0,"重","■"),""))</f>
        <v/>
      </c>
      <c r="S27" s="93" t="str">
        <f>IF(OR($AF27="",S$7=""),"",IF(AND($AI27=1,$AG27&lt;S$7+TTStep,$AH27&gt;S$7),IF(COUNTIFS(tblSteps[担当],$AJ27,tblSteps[重複対象],1,tblSteps[開始分],"&lt;"&amp;(S$7+TTStep),tblSteps[終了分],"&gt;"&amp;S$7)-$AK27&gt;0,"重","■"),""))</f>
        <v/>
      </c>
      <c r="T27" s="93" t="str">
        <f>IF(OR($AF27="",T$7=""),"",IF(AND($AI27=1,$AG27&lt;T$7+TTStep,$AH27&gt;T$7),IF(COUNTIFS(tblSteps[担当],$AJ27,tblSteps[重複対象],1,tblSteps[開始分],"&lt;"&amp;(T$7+TTStep),tblSteps[終了分],"&gt;"&amp;T$7)-$AK27&gt;0,"重","■"),""))</f>
        <v/>
      </c>
      <c r="U27" s="93" t="str">
        <f>IF(OR($AF27="",U$7=""),"",IF(AND($AI27=1,$AG27&lt;U$7+TTStep,$AH27&gt;U$7),IF(COUNTIFS(tblSteps[担当],$AJ27,tblSteps[重複対象],1,tblSteps[開始分],"&lt;"&amp;(U$7+TTStep),tblSteps[終了分],"&gt;"&amp;U$7)-$AK27&gt;0,"重","■"),""))</f>
        <v/>
      </c>
      <c r="V27" s="93" t="str">
        <f>IF(OR($AF27="",V$7=""),"",IF(AND($AI27=1,$AG27&lt;V$7+TTStep,$AH27&gt;V$7),IF(COUNTIFS(tblSteps[担当],$AJ27,tblSteps[重複対象],1,tblSteps[開始分],"&lt;"&amp;(V$7+TTStep),tblSteps[終了分],"&gt;"&amp;V$7)-$AK27&gt;0,"重","■"),""))</f>
        <v/>
      </c>
      <c r="W27" s="93" t="str">
        <f>IF(OR($AF27="",W$7=""),"",IF(AND($AI27=1,$AG27&lt;W$7+TTStep,$AH27&gt;W$7),IF(COUNTIFS(tblSteps[担当],$AJ27,tblSteps[重複対象],1,tblSteps[開始分],"&lt;"&amp;(W$7+TTStep),tblSteps[終了分],"&gt;"&amp;W$7)-$AK27&gt;0,"重","■"),""))</f>
        <v/>
      </c>
      <c r="X27" s="93" t="str">
        <f>IF(OR($AF27="",X$7=""),"",IF(AND($AI27=1,$AG27&lt;X$7+TTStep,$AH27&gt;X$7),IF(COUNTIFS(tblSteps[担当],$AJ27,tblSteps[重複対象],1,tblSteps[開始分],"&lt;"&amp;(X$7+TTStep),tblSteps[終了分],"&gt;"&amp;X$7)-$AK27&gt;0,"重","■"),""))</f>
        <v/>
      </c>
      <c r="Y27" s="93" t="str">
        <f>IF(OR($AF27="",Y$7=""),"",IF(AND($AI27=1,$AG27&lt;Y$7+TTStep,$AH27&gt;Y$7),IF(COUNTIFS(tblSteps[担当],$AJ27,tblSteps[重複対象],1,tblSteps[開始分],"&lt;"&amp;(Y$7+TTStep),tblSteps[終了分],"&gt;"&amp;Y$7)-$AK27&gt;0,"重","■"),""))</f>
        <v/>
      </c>
      <c r="Z27" s="93" t="str">
        <f>IF(OR($AF27="",Z$7=""),"",IF(AND($AI27=1,$AG27&lt;Z$7+TTStep,$AH27&gt;Z$7),IF(COUNTIFS(tblSteps[担当],$AJ27,tblSteps[重複対象],1,tblSteps[開始分],"&lt;"&amp;(Z$7+TTStep),tblSteps[終了分],"&gt;"&amp;Z$7)-$AK27&gt;0,"重","■"),""))</f>
        <v/>
      </c>
      <c r="AA27" s="93" t="str">
        <f>IF(OR($AF27="",AA$7=""),"",IF(AND($AI27=1,$AG27&lt;AA$7+TTStep,$AH27&gt;AA$7),IF(COUNTIFS(tblSteps[担当],$AJ27,tblSteps[重複対象],1,tblSteps[開始分],"&lt;"&amp;(AA$7+TTStep),tblSteps[終了分],"&gt;"&amp;AA$7)-$AK27&gt;0,"重","■"),""))</f>
        <v/>
      </c>
      <c r="AB27" s="93" t="str">
        <f>IF(OR($AF27="",AB$7=""),"",IF(AND($AI27=1,$AG27&lt;AB$7+TTStep,$AH27&gt;AB$7),IF(COUNTIFS(tblSteps[担当],$AJ27,tblSteps[重複対象],1,tblSteps[開始分],"&lt;"&amp;(AB$7+TTStep),tblSteps[終了分],"&gt;"&amp;AB$7)-$AK27&gt;0,"重","■"),""))</f>
        <v/>
      </c>
      <c r="AC27" s="93" t="str">
        <f>IF(OR($AF27="",AC$7=""),"",IF(AND($AI27=1,$AG27&lt;AC$7+TTStep,$AH27&gt;AC$7),IF(COUNTIFS(tblSteps[担当],$AJ27,tblSteps[重複対象],1,tblSteps[開始分],"&lt;"&amp;(AC$7+TTStep),tblSteps[終了分],"&gt;"&amp;AC$7)-$AK27&gt;0,"重","■"),""))</f>
        <v/>
      </c>
      <c r="AD27" s="93" t="str">
        <f>IF(OR($AF27="",AD$7=""),"",IF(AND($AI27=1,$AG27&lt;AD$7+TTStep,$AH27&gt;AD$7),IF(COUNTIFS(tblSteps[担当],$AJ27,tblSteps[重複対象],1,tblSteps[開始分],"&lt;"&amp;(AD$7+TTStep),tblSteps[終了分],"&gt;"&amp;AD$7)-$AK27&gt;0,"重","■"),""))</f>
        <v/>
      </c>
      <c r="AF27" t="str">
        <f>IF(20&gt;COUNTIF(tblSteps[時間割対象],1),"",IFERROR(MATCH(20,tblSteps[時間割順位],0),""))</f>
        <v/>
      </c>
      <c r="AG27" t="str">
        <f>IF($AF27="","",INDEX(tblSteps[開始分],$AF27))</f>
        <v/>
      </c>
      <c r="AH27" t="str">
        <f>IF($AF27="","",INDEX(tblSteps[終了分],$AF27))</f>
        <v/>
      </c>
      <c r="AI27" t="str">
        <f>IF($AF27="","",INDEX(tblSteps[時刻OK],$AF27))</f>
        <v/>
      </c>
      <c r="AJ27" t="str">
        <f>IF($AF27="","",INDEX(tblSteps[担当],$AF27))</f>
        <v/>
      </c>
      <c r="AK27" t="str">
        <f>IF($AF27="","",INDEX(tblSteps[重複対象],$AF27))</f>
        <v/>
      </c>
      <c r="AL27" t="str">
        <f>IF($AF27="","",INDEX(tblSteps[案件ID],$AF27))</f>
        <v/>
      </c>
    </row>
    <row r="28" ht="20" customHeight="1">
      <c r="A28" s="89" t="str">
        <f>IF($AF28="","",INDEX(tblSteps[工程ID],$AF28)&amp;"")</f>
        <v/>
      </c>
      <c r="B28" s="88" t="str">
        <f>IF($AF28="","",$AL28&amp;" "&amp;INDEX(tblSteps[案件名],$AF28))</f>
        <v/>
      </c>
      <c r="C28" s="88" t="str">
        <f>IF($AF28="","",INDEX(tblSteps[工程名],$AF28)&amp;"")</f>
        <v/>
      </c>
      <c r="D28" s="89" t="str">
        <f>IF($AF28="","",$AJ28&amp;"")</f>
        <v/>
      </c>
      <c r="E28" s="103" t="str">
        <f>IF($AF28="","",IF($AI28=1,$AG28/1440,INDEX(tblSteps[計画開始日],$AF28)))</f>
        <v/>
      </c>
      <c r="F28" s="103" t="str">
        <f>IF($AF28="","",IF($AI28=1,$AH28/1440,INDEX(tblSteps[計画終了日],$AF28)))</f>
        <v/>
      </c>
      <c r="G28" s="89" t="str">
        <f>IF($AF28="","",INDEX(tblSteps[状態],$AF28)&amp;"")</f>
        <v/>
      </c>
      <c r="H28" s="92" t="str">
        <f>IF($AF28="","",_xlfn.TEXTJOIN("／",TRUE,IF($AI28=0,"終了日時が開始日時以前",""),IF(AND($AI28=1,OR($AH28&lt;=TTDate*1440+ROUND(TTStart*1440,0),$AG28&gt;=TTDate*1440+ROUND(TTEnd*1440,0))),"表示時間外",""),IF(AND($AI28=1,$AG28&lt;TTDate*1440),"前日から継続",""),IF(AND($AI28=1,$AH28&gt;TTDate*1440+1440),"翌日へ継続",""),IF(INDEX(tblSteps[重複数],$AF28)&gt;0,"予定重複の可能性","")))</f>
        <v/>
      </c>
      <c r="I28" s="93" t="str">
        <f>IF(OR($AF28="",I$7=""),"",IF(AND($AI28=1,$AG28&lt;I$7+TTStep,$AH28&gt;I$7),IF(COUNTIFS(tblSteps[担当],$AJ28,tblSteps[重複対象],1,tblSteps[開始分],"&lt;"&amp;(I$7+TTStep),tblSteps[終了分],"&gt;"&amp;I$7)-$AK28&gt;0,"重","■"),""))</f>
        <v/>
      </c>
      <c r="J28" s="93" t="str">
        <f>IF(OR($AF28="",J$7=""),"",IF(AND($AI28=1,$AG28&lt;J$7+TTStep,$AH28&gt;J$7),IF(COUNTIFS(tblSteps[担当],$AJ28,tblSteps[重複対象],1,tblSteps[開始分],"&lt;"&amp;(J$7+TTStep),tblSteps[終了分],"&gt;"&amp;J$7)-$AK28&gt;0,"重","■"),""))</f>
        <v/>
      </c>
      <c r="K28" s="93" t="str">
        <f>IF(OR($AF28="",K$7=""),"",IF(AND($AI28=1,$AG28&lt;K$7+TTStep,$AH28&gt;K$7),IF(COUNTIFS(tblSteps[担当],$AJ28,tblSteps[重複対象],1,tblSteps[開始分],"&lt;"&amp;(K$7+TTStep),tblSteps[終了分],"&gt;"&amp;K$7)-$AK28&gt;0,"重","■"),""))</f>
        <v/>
      </c>
      <c r="L28" s="93" t="str">
        <f>IF(OR($AF28="",L$7=""),"",IF(AND($AI28=1,$AG28&lt;L$7+TTStep,$AH28&gt;L$7),IF(COUNTIFS(tblSteps[担当],$AJ28,tblSteps[重複対象],1,tblSteps[開始分],"&lt;"&amp;(L$7+TTStep),tblSteps[終了分],"&gt;"&amp;L$7)-$AK28&gt;0,"重","■"),""))</f>
        <v/>
      </c>
      <c r="M28" s="93" t="str">
        <f>IF(OR($AF28="",M$7=""),"",IF(AND($AI28=1,$AG28&lt;M$7+TTStep,$AH28&gt;M$7),IF(COUNTIFS(tblSteps[担当],$AJ28,tblSteps[重複対象],1,tblSteps[開始分],"&lt;"&amp;(M$7+TTStep),tblSteps[終了分],"&gt;"&amp;M$7)-$AK28&gt;0,"重","■"),""))</f>
        <v/>
      </c>
      <c r="N28" s="93" t="str">
        <f>IF(OR($AF28="",N$7=""),"",IF(AND($AI28=1,$AG28&lt;N$7+TTStep,$AH28&gt;N$7),IF(COUNTIFS(tblSteps[担当],$AJ28,tblSteps[重複対象],1,tblSteps[開始分],"&lt;"&amp;(N$7+TTStep),tblSteps[終了分],"&gt;"&amp;N$7)-$AK28&gt;0,"重","■"),""))</f>
        <v/>
      </c>
      <c r="O28" s="93" t="str">
        <f>IF(OR($AF28="",O$7=""),"",IF(AND($AI28=1,$AG28&lt;O$7+TTStep,$AH28&gt;O$7),IF(COUNTIFS(tblSteps[担当],$AJ28,tblSteps[重複対象],1,tblSteps[開始分],"&lt;"&amp;(O$7+TTStep),tblSteps[終了分],"&gt;"&amp;O$7)-$AK28&gt;0,"重","■"),""))</f>
        <v/>
      </c>
      <c r="P28" s="93" t="str">
        <f>IF(OR($AF28="",P$7=""),"",IF(AND($AI28=1,$AG28&lt;P$7+TTStep,$AH28&gt;P$7),IF(COUNTIFS(tblSteps[担当],$AJ28,tblSteps[重複対象],1,tblSteps[開始分],"&lt;"&amp;(P$7+TTStep),tblSteps[終了分],"&gt;"&amp;P$7)-$AK28&gt;0,"重","■"),""))</f>
        <v/>
      </c>
      <c r="Q28" s="93" t="str">
        <f>IF(OR($AF28="",Q$7=""),"",IF(AND($AI28=1,$AG28&lt;Q$7+TTStep,$AH28&gt;Q$7),IF(COUNTIFS(tblSteps[担当],$AJ28,tblSteps[重複対象],1,tblSteps[開始分],"&lt;"&amp;(Q$7+TTStep),tblSteps[終了分],"&gt;"&amp;Q$7)-$AK28&gt;0,"重","■"),""))</f>
        <v/>
      </c>
      <c r="R28" s="93" t="str">
        <f>IF(OR($AF28="",R$7=""),"",IF(AND($AI28=1,$AG28&lt;R$7+TTStep,$AH28&gt;R$7),IF(COUNTIFS(tblSteps[担当],$AJ28,tblSteps[重複対象],1,tblSteps[開始分],"&lt;"&amp;(R$7+TTStep),tblSteps[終了分],"&gt;"&amp;R$7)-$AK28&gt;0,"重","■"),""))</f>
        <v/>
      </c>
      <c r="S28" s="93" t="str">
        <f>IF(OR($AF28="",S$7=""),"",IF(AND($AI28=1,$AG28&lt;S$7+TTStep,$AH28&gt;S$7),IF(COUNTIFS(tblSteps[担当],$AJ28,tblSteps[重複対象],1,tblSteps[開始分],"&lt;"&amp;(S$7+TTStep),tblSteps[終了分],"&gt;"&amp;S$7)-$AK28&gt;0,"重","■"),""))</f>
        <v/>
      </c>
      <c r="T28" s="93" t="str">
        <f>IF(OR($AF28="",T$7=""),"",IF(AND($AI28=1,$AG28&lt;T$7+TTStep,$AH28&gt;T$7),IF(COUNTIFS(tblSteps[担当],$AJ28,tblSteps[重複対象],1,tblSteps[開始分],"&lt;"&amp;(T$7+TTStep),tblSteps[終了分],"&gt;"&amp;T$7)-$AK28&gt;0,"重","■"),""))</f>
        <v/>
      </c>
      <c r="U28" s="93" t="str">
        <f>IF(OR($AF28="",U$7=""),"",IF(AND($AI28=1,$AG28&lt;U$7+TTStep,$AH28&gt;U$7),IF(COUNTIFS(tblSteps[担当],$AJ28,tblSteps[重複対象],1,tblSteps[開始分],"&lt;"&amp;(U$7+TTStep),tblSteps[終了分],"&gt;"&amp;U$7)-$AK28&gt;0,"重","■"),""))</f>
        <v/>
      </c>
      <c r="V28" s="93" t="str">
        <f>IF(OR($AF28="",V$7=""),"",IF(AND($AI28=1,$AG28&lt;V$7+TTStep,$AH28&gt;V$7),IF(COUNTIFS(tblSteps[担当],$AJ28,tblSteps[重複対象],1,tblSteps[開始分],"&lt;"&amp;(V$7+TTStep),tblSteps[終了分],"&gt;"&amp;V$7)-$AK28&gt;0,"重","■"),""))</f>
        <v/>
      </c>
      <c r="W28" s="93" t="str">
        <f>IF(OR($AF28="",W$7=""),"",IF(AND($AI28=1,$AG28&lt;W$7+TTStep,$AH28&gt;W$7),IF(COUNTIFS(tblSteps[担当],$AJ28,tblSteps[重複対象],1,tblSteps[開始分],"&lt;"&amp;(W$7+TTStep),tblSteps[終了分],"&gt;"&amp;W$7)-$AK28&gt;0,"重","■"),""))</f>
        <v/>
      </c>
      <c r="X28" s="93" t="str">
        <f>IF(OR($AF28="",X$7=""),"",IF(AND($AI28=1,$AG28&lt;X$7+TTStep,$AH28&gt;X$7),IF(COUNTIFS(tblSteps[担当],$AJ28,tblSteps[重複対象],1,tblSteps[開始分],"&lt;"&amp;(X$7+TTStep),tblSteps[終了分],"&gt;"&amp;X$7)-$AK28&gt;0,"重","■"),""))</f>
        <v/>
      </c>
      <c r="Y28" s="93" t="str">
        <f>IF(OR($AF28="",Y$7=""),"",IF(AND($AI28=1,$AG28&lt;Y$7+TTStep,$AH28&gt;Y$7),IF(COUNTIFS(tblSteps[担当],$AJ28,tblSteps[重複対象],1,tblSteps[開始分],"&lt;"&amp;(Y$7+TTStep),tblSteps[終了分],"&gt;"&amp;Y$7)-$AK28&gt;0,"重","■"),""))</f>
        <v/>
      </c>
      <c r="Z28" s="93" t="str">
        <f>IF(OR($AF28="",Z$7=""),"",IF(AND($AI28=1,$AG28&lt;Z$7+TTStep,$AH28&gt;Z$7),IF(COUNTIFS(tblSteps[担当],$AJ28,tblSteps[重複対象],1,tblSteps[開始分],"&lt;"&amp;(Z$7+TTStep),tblSteps[終了分],"&gt;"&amp;Z$7)-$AK28&gt;0,"重","■"),""))</f>
        <v/>
      </c>
      <c r="AA28" s="93" t="str">
        <f>IF(OR($AF28="",AA$7=""),"",IF(AND($AI28=1,$AG28&lt;AA$7+TTStep,$AH28&gt;AA$7),IF(COUNTIFS(tblSteps[担当],$AJ28,tblSteps[重複対象],1,tblSteps[開始分],"&lt;"&amp;(AA$7+TTStep),tblSteps[終了分],"&gt;"&amp;AA$7)-$AK28&gt;0,"重","■"),""))</f>
        <v/>
      </c>
      <c r="AB28" s="93" t="str">
        <f>IF(OR($AF28="",AB$7=""),"",IF(AND($AI28=1,$AG28&lt;AB$7+TTStep,$AH28&gt;AB$7),IF(COUNTIFS(tblSteps[担当],$AJ28,tblSteps[重複対象],1,tblSteps[開始分],"&lt;"&amp;(AB$7+TTStep),tblSteps[終了分],"&gt;"&amp;AB$7)-$AK28&gt;0,"重","■"),""))</f>
        <v/>
      </c>
      <c r="AC28" s="93" t="str">
        <f>IF(OR($AF28="",AC$7=""),"",IF(AND($AI28=1,$AG28&lt;AC$7+TTStep,$AH28&gt;AC$7),IF(COUNTIFS(tblSteps[担当],$AJ28,tblSteps[重複対象],1,tblSteps[開始分],"&lt;"&amp;(AC$7+TTStep),tblSteps[終了分],"&gt;"&amp;AC$7)-$AK28&gt;0,"重","■"),""))</f>
        <v/>
      </c>
      <c r="AD28" s="93" t="str">
        <f>IF(OR($AF28="",AD$7=""),"",IF(AND($AI28=1,$AG28&lt;AD$7+TTStep,$AH28&gt;AD$7),IF(COUNTIFS(tblSteps[担当],$AJ28,tblSteps[重複対象],1,tblSteps[開始分],"&lt;"&amp;(AD$7+TTStep),tblSteps[終了分],"&gt;"&amp;AD$7)-$AK28&gt;0,"重","■"),""))</f>
        <v/>
      </c>
      <c r="AF28" t="str">
        <f>IF(21&gt;COUNTIF(tblSteps[時間割対象],1),"",IFERROR(MATCH(21,tblSteps[時間割順位],0),""))</f>
        <v/>
      </c>
      <c r="AG28" t="str">
        <f>IF($AF28="","",INDEX(tblSteps[開始分],$AF28))</f>
        <v/>
      </c>
      <c r="AH28" t="str">
        <f>IF($AF28="","",INDEX(tblSteps[終了分],$AF28))</f>
        <v/>
      </c>
      <c r="AI28" t="str">
        <f>IF($AF28="","",INDEX(tblSteps[時刻OK],$AF28))</f>
        <v/>
      </c>
      <c r="AJ28" t="str">
        <f>IF($AF28="","",INDEX(tblSteps[担当],$AF28))</f>
        <v/>
      </c>
      <c r="AK28" t="str">
        <f>IF($AF28="","",INDEX(tblSteps[重複対象],$AF28))</f>
        <v/>
      </c>
      <c r="AL28" t="str">
        <f>IF($AF28="","",INDEX(tblSteps[案件ID],$AF28))</f>
        <v/>
      </c>
    </row>
    <row r="29" ht="20" customHeight="1">
      <c r="A29" s="89" t="str">
        <f>IF($AF29="","",INDEX(tblSteps[工程ID],$AF29)&amp;"")</f>
        <v/>
      </c>
      <c r="B29" s="88" t="str">
        <f>IF($AF29="","",$AL29&amp;" "&amp;INDEX(tblSteps[案件名],$AF29))</f>
        <v/>
      </c>
      <c r="C29" s="88" t="str">
        <f>IF($AF29="","",INDEX(tblSteps[工程名],$AF29)&amp;"")</f>
        <v/>
      </c>
      <c r="D29" s="89" t="str">
        <f>IF($AF29="","",$AJ29&amp;"")</f>
        <v/>
      </c>
      <c r="E29" s="103" t="str">
        <f>IF($AF29="","",IF($AI29=1,$AG29/1440,INDEX(tblSteps[計画開始日],$AF29)))</f>
        <v/>
      </c>
      <c r="F29" s="103" t="str">
        <f>IF($AF29="","",IF($AI29=1,$AH29/1440,INDEX(tblSteps[計画終了日],$AF29)))</f>
        <v/>
      </c>
      <c r="G29" s="89" t="str">
        <f>IF($AF29="","",INDEX(tblSteps[状態],$AF29)&amp;"")</f>
        <v/>
      </c>
      <c r="H29" s="92" t="str">
        <f>IF($AF29="","",_xlfn.TEXTJOIN("／",TRUE,IF($AI29=0,"終了日時が開始日時以前",""),IF(AND($AI29=1,OR($AH29&lt;=TTDate*1440+ROUND(TTStart*1440,0),$AG29&gt;=TTDate*1440+ROUND(TTEnd*1440,0))),"表示時間外",""),IF(AND($AI29=1,$AG29&lt;TTDate*1440),"前日から継続",""),IF(AND($AI29=1,$AH29&gt;TTDate*1440+1440),"翌日へ継続",""),IF(INDEX(tblSteps[重複数],$AF29)&gt;0,"予定重複の可能性","")))</f>
        <v/>
      </c>
      <c r="I29" s="93" t="str">
        <f>IF(OR($AF29="",I$7=""),"",IF(AND($AI29=1,$AG29&lt;I$7+TTStep,$AH29&gt;I$7),IF(COUNTIFS(tblSteps[担当],$AJ29,tblSteps[重複対象],1,tblSteps[開始分],"&lt;"&amp;(I$7+TTStep),tblSteps[終了分],"&gt;"&amp;I$7)-$AK29&gt;0,"重","■"),""))</f>
        <v/>
      </c>
      <c r="J29" s="93" t="str">
        <f>IF(OR($AF29="",J$7=""),"",IF(AND($AI29=1,$AG29&lt;J$7+TTStep,$AH29&gt;J$7),IF(COUNTIFS(tblSteps[担当],$AJ29,tblSteps[重複対象],1,tblSteps[開始分],"&lt;"&amp;(J$7+TTStep),tblSteps[終了分],"&gt;"&amp;J$7)-$AK29&gt;0,"重","■"),""))</f>
        <v/>
      </c>
      <c r="K29" s="93" t="str">
        <f>IF(OR($AF29="",K$7=""),"",IF(AND($AI29=1,$AG29&lt;K$7+TTStep,$AH29&gt;K$7),IF(COUNTIFS(tblSteps[担当],$AJ29,tblSteps[重複対象],1,tblSteps[開始分],"&lt;"&amp;(K$7+TTStep),tblSteps[終了分],"&gt;"&amp;K$7)-$AK29&gt;0,"重","■"),""))</f>
        <v/>
      </c>
      <c r="L29" s="93" t="str">
        <f>IF(OR($AF29="",L$7=""),"",IF(AND($AI29=1,$AG29&lt;L$7+TTStep,$AH29&gt;L$7),IF(COUNTIFS(tblSteps[担当],$AJ29,tblSteps[重複対象],1,tblSteps[開始分],"&lt;"&amp;(L$7+TTStep),tblSteps[終了分],"&gt;"&amp;L$7)-$AK29&gt;0,"重","■"),""))</f>
        <v/>
      </c>
      <c r="M29" s="93" t="str">
        <f>IF(OR($AF29="",M$7=""),"",IF(AND($AI29=1,$AG29&lt;M$7+TTStep,$AH29&gt;M$7),IF(COUNTIFS(tblSteps[担当],$AJ29,tblSteps[重複対象],1,tblSteps[開始分],"&lt;"&amp;(M$7+TTStep),tblSteps[終了分],"&gt;"&amp;M$7)-$AK29&gt;0,"重","■"),""))</f>
        <v/>
      </c>
      <c r="N29" s="93" t="str">
        <f>IF(OR($AF29="",N$7=""),"",IF(AND($AI29=1,$AG29&lt;N$7+TTStep,$AH29&gt;N$7),IF(COUNTIFS(tblSteps[担当],$AJ29,tblSteps[重複対象],1,tblSteps[開始分],"&lt;"&amp;(N$7+TTStep),tblSteps[終了分],"&gt;"&amp;N$7)-$AK29&gt;0,"重","■"),""))</f>
        <v/>
      </c>
      <c r="O29" s="93" t="str">
        <f>IF(OR($AF29="",O$7=""),"",IF(AND($AI29=1,$AG29&lt;O$7+TTStep,$AH29&gt;O$7),IF(COUNTIFS(tblSteps[担当],$AJ29,tblSteps[重複対象],1,tblSteps[開始分],"&lt;"&amp;(O$7+TTStep),tblSteps[終了分],"&gt;"&amp;O$7)-$AK29&gt;0,"重","■"),""))</f>
        <v/>
      </c>
      <c r="P29" s="93" t="str">
        <f>IF(OR($AF29="",P$7=""),"",IF(AND($AI29=1,$AG29&lt;P$7+TTStep,$AH29&gt;P$7),IF(COUNTIFS(tblSteps[担当],$AJ29,tblSteps[重複対象],1,tblSteps[開始分],"&lt;"&amp;(P$7+TTStep),tblSteps[終了分],"&gt;"&amp;P$7)-$AK29&gt;0,"重","■"),""))</f>
        <v/>
      </c>
      <c r="Q29" s="93" t="str">
        <f>IF(OR($AF29="",Q$7=""),"",IF(AND($AI29=1,$AG29&lt;Q$7+TTStep,$AH29&gt;Q$7),IF(COUNTIFS(tblSteps[担当],$AJ29,tblSteps[重複対象],1,tblSteps[開始分],"&lt;"&amp;(Q$7+TTStep),tblSteps[終了分],"&gt;"&amp;Q$7)-$AK29&gt;0,"重","■"),""))</f>
        <v/>
      </c>
      <c r="R29" s="93" t="str">
        <f>IF(OR($AF29="",R$7=""),"",IF(AND($AI29=1,$AG29&lt;R$7+TTStep,$AH29&gt;R$7),IF(COUNTIFS(tblSteps[担当],$AJ29,tblSteps[重複対象],1,tblSteps[開始分],"&lt;"&amp;(R$7+TTStep),tblSteps[終了分],"&gt;"&amp;R$7)-$AK29&gt;0,"重","■"),""))</f>
        <v/>
      </c>
      <c r="S29" s="93" t="str">
        <f>IF(OR($AF29="",S$7=""),"",IF(AND($AI29=1,$AG29&lt;S$7+TTStep,$AH29&gt;S$7),IF(COUNTIFS(tblSteps[担当],$AJ29,tblSteps[重複対象],1,tblSteps[開始分],"&lt;"&amp;(S$7+TTStep),tblSteps[終了分],"&gt;"&amp;S$7)-$AK29&gt;0,"重","■"),""))</f>
        <v/>
      </c>
      <c r="T29" s="93" t="str">
        <f>IF(OR($AF29="",T$7=""),"",IF(AND($AI29=1,$AG29&lt;T$7+TTStep,$AH29&gt;T$7),IF(COUNTIFS(tblSteps[担当],$AJ29,tblSteps[重複対象],1,tblSteps[開始分],"&lt;"&amp;(T$7+TTStep),tblSteps[終了分],"&gt;"&amp;T$7)-$AK29&gt;0,"重","■"),""))</f>
        <v/>
      </c>
      <c r="U29" s="93" t="str">
        <f>IF(OR($AF29="",U$7=""),"",IF(AND($AI29=1,$AG29&lt;U$7+TTStep,$AH29&gt;U$7),IF(COUNTIFS(tblSteps[担当],$AJ29,tblSteps[重複対象],1,tblSteps[開始分],"&lt;"&amp;(U$7+TTStep),tblSteps[終了分],"&gt;"&amp;U$7)-$AK29&gt;0,"重","■"),""))</f>
        <v/>
      </c>
      <c r="V29" s="93" t="str">
        <f>IF(OR($AF29="",V$7=""),"",IF(AND($AI29=1,$AG29&lt;V$7+TTStep,$AH29&gt;V$7),IF(COUNTIFS(tblSteps[担当],$AJ29,tblSteps[重複対象],1,tblSteps[開始分],"&lt;"&amp;(V$7+TTStep),tblSteps[終了分],"&gt;"&amp;V$7)-$AK29&gt;0,"重","■"),""))</f>
        <v/>
      </c>
      <c r="W29" s="93" t="str">
        <f>IF(OR($AF29="",W$7=""),"",IF(AND($AI29=1,$AG29&lt;W$7+TTStep,$AH29&gt;W$7),IF(COUNTIFS(tblSteps[担当],$AJ29,tblSteps[重複対象],1,tblSteps[開始分],"&lt;"&amp;(W$7+TTStep),tblSteps[終了分],"&gt;"&amp;W$7)-$AK29&gt;0,"重","■"),""))</f>
        <v/>
      </c>
      <c r="X29" s="93" t="str">
        <f>IF(OR($AF29="",X$7=""),"",IF(AND($AI29=1,$AG29&lt;X$7+TTStep,$AH29&gt;X$7),IF(COUNTIFS(tblSteps[担当],$AJ29,tblSteps[重複対象],1,tblSteps[開始分],"&lt;"&amp;(X$7+TTStep),tblSteps[終了分],"&gt;"&amp;X$7)-$AK29&gt;0,"重","■"),""))</f>
        <v/>
      </c>
      <c r="Y29" s="93" t="str">
        <f>IF(OR($AF29="",Y$7=""),"",IF(AND($AI29=1,$AG29&lt;Y$7+TTStep,$AH29&gt;Y$7),IF(COUNTIFS(tblSteps[担当],$AJ29,tblSteps[重複対象],1,tblSteps[開始分],"&lt;"&amp;(Y$7+TTStep),tblSteps[終了分],"&gt;"&amp;Y$7)-$AK29&gt;0,"重","■"),""))</f>
        <v/>
      </c>
      <c r="Z29" s="93" t="str">
        <f>IF(OR($AF29="",Z$7=""),"",IF(AND($AI29=1,$AG29&lt;Z$7+TTStep,$AH29&gt;Z$7),IF(COUNTIFS(tblSteps[担当],$AJ29,tblSteps[重複対象],1,tblSteps[開始分],"&lt;"&amp;(Z$7+TTStep),tblSteps[終了分],"&gt;"&amp;Z$7)-$AK29&gt;0,"重","■"),""))</f>
        <v/>
      </c>
      <c r="AA29" s="93" t="str">
        <f>IF(OR($AF29="",AA$7=""),"",IF(AND($AI29=1,$AG29&lt;AA$7+TTStep,$AH29&gt;AA$7),IF(COUNTIFS(tblSteps[担当],$AJ29,tblSteps[重複対象],1,tblSteps[開始分],"&lt;"&amp;(AA$7+TTStep),tblSteps[終了分],"&gt;"&amp;AA$7)-$AK29&gt;0,"重","■"),""))</f>
        <v/>
      </c>
      <c r="AB29" s="93" t="str">
        <f>IF(OR($AF29="",AB$7=""),"",IF(AND($AI29=1,$AG29&lt;AB$7+TTStep,$AH29&gt;AB$7),IF(COUNTIFS(tblSteps[担当],$AJ29,tblSteps[重複対象],1,tblSteps[開始分],"&lt;"&amp;(AB$7+TTStep),tblSteps[終了分],"&gt;"&amp;AB$7)-$AK29&gt;0,"重","■"),""))</f>
        <v/>
      </c>
      <c r="AC29" s="93" t="str">
        <f>IF(OR($AF29="",AC$7=""),"",IF(AND($AI29=1,$AG29&lt;AC$7+TTStep,$AH29&gt;AC$7),IF(COUNTIFS(tblSteps[担当],$AJ29,tblSteps[重複対象],1,tblSteps[開始分],"&lt;"&amp;(AC$7+TTStep),tblSteps[終了分],"&gt;"&amp;AC$7)-$AK29&gt;0,"重","■"),""))</f>
        <v/>
      </c>
      <c r="AD29" s="93" t="str">
        <f>IF(OR($AF29="",AD$7=""),"",IF(AND($AI29=1,$AG29&lt;AD$7+TTStep,$AH29&gt;AD$7),IF(COUNTIFS(tblSteps[担当],$AJ29,tblSteps[重複対象],1,tblSteps[開始分],"&lt;"&amp;(AD$7+TTStep),tblSteps[終了分],"&gt;"&amp;AD$7)-$AK29&gt;0,"重","■"),""))</f>
        <v/>
      </c>
      <c r="AF29" t="str">
        <f>IF(22&gt;COUNTIF(tblSteps[時間割対象],1),"",IFERROR(MATCH(22,tblSteps[時間割順位],0),""))</f>
        <v/>
      </c>
      <c r="AG29" t="str">
        <f>IF($AF29="","",INDEX(tblSteps[開始分],$AF29))</f>
        <v/>
      </c>
      <c r="AH29" t="str">
        <f>IF($AF29="","",INDEX(tblSteps[終了分],$AF29))</f>
        <v/>
      </c>
      <c r="AI29" t="str">
        <f>IF($AF29="","",INDEX(tblSteps[時刻OK],$AF29))</f>
        <v/>
      </c>
      <c r="AJ29" t="str">
        <f>IF($AF29="","",INDEX(tblSteps[担当],$AF29))</f>
        <v/>
      </c>
      <c r="AK29" t="str">
        <f>IF($AF29="","",INDEX(tblSteps[重複対象],$AF29))</f>
        <v/>
      </c>
      <c r="AL29" t="str">
        <f>IF($AF29="","",INDEX(tblSteps[案件ID],$AF29))</f>
        <v/>
      </c>
    </row>
    <row r="30" ht="20" customHeight="1">
      <c r="A30" s="89" t="str">
        <f>IF($AF30="","",INDEX(tblSteps[工程ID],$AF30)&amp;"")</f>
        <v/>
      </c>
      <c r="B30" s="88" t="str">
        <f>IF($AF30="","",$AL30&amp;" "&amp;INDEX(tblSteps[案件名],$AF30))</f>
        <v/>
      </c>
      <c r="C30" s="88" t="str">
        <f>IF($AF30="","",INDEX(tblSteps[工程名],$AF30)&amp;"")</f>
        <v/>
      </c>
      <c r="D30" s="89" t="str">
        <f>IF($AF30="","",$AJ30&amp;"")</f>
        <v/>
      </c>
      <c r="E30" s="103" t="str">
        <f>IF($AF30="","",IF($AI30=1,$AG30/1440,INDEX(tblSteps[計画開始日],$AF30)))</f>
        <v/>
      </c>
      <c r="F30" s="103" t="str">
        <f>IF($AF30="","",IF($AI30=1,$AH30/1440,INDEX(tblSteps[計画終了日],$AF30)))</f>
        <v/>
      </c>
      <c r="G30" s="89" t="str">
        <f>IF($AF30="","",INDEX(tblSteps[状態],$AF30)&amp;"")</f>
        <v/>
      </c>
      <c r="H30" s="92" t="str">
        <f>IF($AF30="","",_xlfn.TEXTJOIN("／",TRUE,IF($AI30=0,"終了日時が開始日時以前",""),IF(AND($AI30=1,OR($AH30&lt;=TTDate*1440+ROUND(TTStart*1440,0),$AG30&gt;=TTDate*1440+ROUND(TTEnd*1440,0))),"表示時間外",""),IF(AND($AI30=1,$AG30&lt;TTDate*1440),"前日から継続",""),IF(AND($AI30=1,$AH30&gt;TTDate*1440+1440),"翌日へ継続",""),IF(INDEX(tblSteps[重複数],$AF30)&gt;0,"予定重複の可能性","")))</f>
        <v/>
      </c>
      <c r="I30" s="93" t="str">
        <f>IF(OR($AF30="",I$7=""),"",IF(AND($AI30=1,$AG30&lt;I$7+TTStep,$AH30&gt;I$7),IF(COUNTIFS(tblSteps[担当],$AJ30,tblSteps[重複対象],1,tblSteps[開始分],"&lt;"&amp;(I$7+TTStep),tblSteps[終了分],"&gt;"&amp;I$7)-$AK30&gt;0,"重","■"),""))</f>
        <v/>
      </c>
      <c r="J30" s="93" t="str">
        <f>IF(OR($AF30="",J$7=""),"",IF(AND($AI30=1,$AG30&lt;J$7+TTStep,$AH30&gt;J$7),IF(COUNTIFS(tblSteps[担当],$AJ30,tblSteps[重複対象],1,tblSteps[開始分],"&lt;"&amp;(J$7+TTStep),tblSteps[終了分],"&gt;"&amp;J$7)-$AK30&gt;0,"重","■"),""))</f>
        <v/>
      </c>
      <c r="K30" s="93" t="str">
        <f>IF(OR($AF30="",K$7=""),"",IF(AND($AI30=1,$AG30&lt;K$7+TTStep,$AH30&gt;K$7),IF(COUNTIFS(tblSteps[担当],$AJ30,tblSteps[重複対象],1,tblSteps[開始分],"&lt;"&amp;(K$7+TTStep),tblSteps[終了分],"&gt;"&amp;K$7)-$AK30&gt;0,"重","■"),""))</f>
        <v/>
      </c>
      <c r="L30" s="93" t="str">
        <f>IF(OR($AF30="",L$7=""),"",IF(AND($AI30=1,$AG30&lt;L$7+TTStep,$AH30&gt;L$7),IF(COUNTIFS(tblSteps[担当],$AJ30,tblSteps[重複対象],1,tblSteps[開始分],"&lt;"&amp;(L$7+TTStep),tblSteps[終了分],"&gt;"&amp;L$7)-$AK30&gt;0,"重","■"),""))</f>
        <v/>
      </c>
      <c r="M30" s="93" t="str">
        <f>IF(OR($AF30="",M$7=""),"",IF(AND($AI30=1,$AG30&lt;M$7+TTStep,$AH30&gt;M$7),IF(COUNTIFS(tblSteps[担当],$AJ30,tblSteps[重複対象],1,tblSteps[開始分],"&lt;"&amp;(M$7+TTStep),tblSteps[終了分],"&gt;"&amp;M$7)-$AK30&gt;0,"重","■"),""))</f>
        <v/>
      </c>
      <c r="N30" s="93" t="str">
        <f>IF(OR($AF30="",N$7=""),"",IF(AND($AI30=1,$AG30&lt;N$7+TTStep,$AH30&gt;N$7),IF(COUNTIFS(tblSteps[担当],$AJ30,tblSteps[重複対象],1,tblSteps[開始分],"&lt;"&amp;(N$7+TTStep),tblSteps[終了分],"&gt;"&amp;N$7)-$AK30&gt;0,"重","■"),""))</f>
        <v/>
      </c>
      <c r="O30" s="93" t="str">
        <f>IF(OR($AF30="",O$7=""),"",IF(AND($AI30=1,$AG30&lt;O$7+TTStep,$AH30&gt;O$7),IF(COUNTIFS(tblSteps[担当],$AJ30,tblSteps[重複対象],1,tblSteps[開始分],"&lt;"&amp;(O$7+TTStep),tblSteps[終了分],"&gt;"&amp;O$7)-$AK30&gt;0,"重","■"),""))</f>
        <v/>
      </c>
      <c r="P30" s="93" t="str">
        <f>IF(OR($AF30="",P$7=""),"",IF(AND($AI30=1,$AG30&lt;P$7+TTStep,$AH30&gt;P$7),IF(COUNTIFS(tblSteps[担当],$AJ30,tblSteps[重複対象],1,tblSteps[開始分],"&lt;"&amp;(P$7+TTStep),tblSteps[終了分],"&gt;"&amp;P$7)-$AK30&gt;0,"重","■"),""))</f>
        <v/>
      </c>
      <c r="Q30" s="93" t="str">
        <f>IF(OR($AF30="",Q$7=""),"",IF(AND($AI30=1,$AG30&lt;Q$7+TTStep,$AH30&gt;Q$7),IF(COUNTIFS(tblSteps[担当],$AJ30,tblSteps[重複対象],1,tblSteps[開始分],"&lt;"&amp;(Q$7+TTStep),tblSteps[終了分],"&gt;"&amp;Q$7)-$AK30&gt;0,"重","■"),""))</f>
        <v/>
      </c>
      <c r="R30" s="93" t="str">
        <f>IF(OR($AF30="",R$7=""),"",IF(AND($AI30=1,$AG30&lt;R$7+TTStep,$AH30&gt;R$7),IF(COUNTIFS(tblSteps[担当],$AJ30,tblSteps[重複対象],1,tblSteps[開始分],"&lt;"&amp;(R$7+TTStep),tblSteps[終了分],"&gt;"&amp;R$7)-$AK30&gt;0,"重","■"),""))</f>
        <v/>
      </c>
      <c r="S30" s="93" t="str">
        <f>IF(OR($AF30="",S$7=""),"",IF(AND($AI30=1,$AG30&lt;S$7+TTStep,$AH30&gt;S$7),IF(COUNTIFS(tblSteps[担当],$AJ30,tblSteps[重複対象],1,tblSteps[開始分],"&lt;"&amp;(S$7+TTStep),tblSteps[終了分],"&gt;"&amp;S$7)-$AK30&gt;0,"重","■"),""))</f>
        <v/>
      </c>
      <c r="T30" s="93" t="str">
        <f>IF(OR($AF30="",T$7=""),"",IF(AND($AI30=1,$AG30&lt;T$7+TTStep,$AH30&gt;T$7),IF(COUNTIFS(tblSteps[担当],$AJ30,tblSteps[重複対象],1,tblSteps[開始分],"&lt;"&amp;(T$7+TTStep),tblSteps[終了分],"&gt;"&amp;T$7)-$AK30&gt;0,"重","■"),""))</f>
        <v/>
      </c>
      <c r="U30" s="93" t="str">
        <f>IF(OR($AF30="",U$7=""),"",IF(AND($AI30=1,$AG30&lt;U$7+TTStep,$AH30&gt;U$7),IF(COUNTIFS(tblSteps[担当],$AJ30,tblSteps[重複対象],1,tblSteps[開始分],"&lt;"&amp;(U$7+TTStep),tblSteps[終了分],"&gt;"&amp;U$7)-$AK30&gt;0,"重","■"),""))</f>
        <v/>
      </c>
      <c r="V30" s="93" t="str">
        <f>IF(OR($AF30="",V$7=""),"",IF(AND($AI30=1,$AG30&lt;V$7+TTStep,$AH30&gt;V$7),IF(COUNTIFS(tblSteps[担当],$AJ30,tblSteps[重複対象],1,tblSteps[開始分],"&lt;"&amp;(V$7+TTStep),tblSteps[終了分],"&gt;"&amp;V$7)-$AK30&gt;0,"重","■"),""))</f>
        <v/>
      </c>
      <c r="W30" s="93" t="str">
        <f>IF(OR($AF30="",W$7=""),"",IF(AND($AI30=1,$AG30&lt;W$7+TTStep,$AH30&gt;W$7),IF(COUNTIFS(tblSteps[担当],$AJ30,tblSteps[重複対象],1,tblSteps[開始分],"&lt;"&amp;(W$7+TTStep),tblSteps[終了分],"&gt;"&amp;W$7)-$AK30&gt;0,"重","■"),""))</f>
        <v/>
      </c>
      <c r="X30" s="93" t="str">
        <f>IF(OR($AF30="",X$7=""),"",IF(AND($AI30=1,$AG30&lt;X$7+TTStep,$AH30&gt;X$7),IF(COUNTIFS(tblSteps[担当],$AJ30,tblSteps[重複対象],1,tblSteps[開始分],"&lt;"&amp;(X$7+TTStep),tblSteps[終了分],"&gt;"&amp;X$7)-$AK30&gt;0,"重","■"),""))</f>
        <v/>
      </c>
      <c r="Y30" s="93" t="str">
        <f>IF(OR($AF30="",Y$7=""),"",IF(AND($AI30=1,$AG30&lt;Y$7+TTStep,$AH30&gt;Y$7),IF(COUNTIFS(tblSteps[担当],$AJ30,tblSteps[重複対象],1,tblSteps[開始分],"&lt;"&amp;(Y$7+TTStep),tblSteps[終了分],"&gt;"&amp;Y$7)-$AK30&gt;0,"重","■"),""))</f>
        <v/>
      </c>
      <c r="Z30" s="93" t="str">
        <f>IF(OR($AF30="",Z$7=""),"",IF(AND($AI30=1,$AG30&lt;Z$7+TTStep,$AH30&gt;Z$7),IF(COUNTIFS(tblSteps[担当],$AJ30,tblSteps[重複対象],1,tblSteps[開始分],"&lt;"&amp;(Z$7+TTStep),tblSteps[終了分],"&gt;"&amp;Z$7)-$AK30&gt;0,"重","■"),""))</f>
        <v/>
      </c>
      <c r="AA30" s="93" t="str">
        <f>IF(OR($AF30="",AA$7=""),"",IF(AND($AI30=1,$AG30&lt;AA$7+TTStep,$AH30&gt;AA$7),IF(COUNTIFS(tblSteps[担当],$AJ30,tblSteps[重複対象],1,tblSteps[開始分],"&lt;"&amp;(AA$7+TTStep),tblSteps[終了分],"&gt;"&amp;AA$7)-$AK30&gt;0,"重","■"),""))</f>
        <v/>
      </c>
      <c r="AB30" s="93" t="str">
        <f>IF(OR($AF30="",AB$7=""),"",IF(AND($AI30=1,$AG30&lt;AB$7+TTStep,$AH30&gt;AB$7),IF(COUNTIFS(tblSteps[担当],$AJ30,tblSteps[重複対象],1,tblSteps[開始分],"&lt;"&amp;(AB$7+TTStep),tblSteps[終了分],"&gt;"&amp;AB$7)-$AK30&gt;0,"重","■"),""))</f>
        <v/>
      </c>
      <c r="AC30" s="93" t="str">
        <f>IF(OR($AF30="",AC$7=""),"",IF(AND($AI30=1,$AG30&lt;AC$7+TTStep,$AH30&gt;AC$7),IF(COUNTIFS(tblSteps[担当],$AJ30,tblSteps[重複対象],1,tblSteps[開始分],"&lt;"&amp;(AC$7+TTStep),tblSteps[終了分],"&gt;"&amp;AC$7)-$AK30&gt;0,"重","■"),""))</f>
        <v/>
      </c>
      <c r="AD30" s="93" t="str">
        <f>IF(OR($AF30="",AD$7=""),"",IF(AND($AI30=1,$AG30&lt;AD$7+TTStep,$AH30&gt;AD$7),IF(COUNTIFS(tblSteps[担当],$AJ30,tblSteps[重複対象],1,tblSteps[開始分],"&lt;"&amp;(AD$7+TTStep),tblSteps[終了分],"&gt;"&amp;AD$7)-$AK30&gt;0,"重","■"),""))</f>
        <v/>
      </c>
      <c r="AF30" t="str">
        <f>IF(23&gt;COUNTIF(tblSteps[時間割対象],1),"",IFERROR(MATCH(23,tblSteps[時間割順位],0),""))</f>
        <v/>
      </c>
      <c r="AG30" t="str">
        <f>IF($AF30="","",INDEX(tblSteps[開始分],$AF30))</f>
        <v/>
      </c>
      <c r="AH30" t="str">
        <f>IF($AF30="","",INDEX(tblSteps[終了分],$AF30))</f>
        <v/>
      </c>
      <c r="AI30" t="str">
        <f>IF($AF30="","",INDEX(tblSteps[時刻OK],$AF30))</f>
        <v/>
      </c>
      <c r="AJ30" t="str">
        <f>IF($AF30="","",INDEX(tblSteps[担当],$AF30))</f>
        <v/>
      </c>
      <c r="AK30" t="str">
        <f>IF($AF30="","",INDEX(tblSteps[重複対象],$AF30))</f>
        <v/>
      </c>
      <c r="AL30" t="str">
        <f>IF($AF30="","",INDEX(tblSteps[案件ID],$AF30))</f>
        <v/>
      </c>
    </row>
    <row r="31" ht="20" customHeight="1">
      <c r="A31" s="89" t="str">
        <f>IF($AF31="","",INDEX(tblSteps[工程ID],$AF31)&amp;"")</f>
        <v/>
      </c>
      <c r="B31" s="88" t="str">
        <f>IF($AF31="","",$AL31&amp;" "&amp;INDEX(tblSteps[案件名],$AF31))</f>
        <v/>
      </c>
      <c r="C31" s="88" t="str">
        <f>IF($AF31="","",INDEX(tblSteps[工程名],$AF31)&amp;"")</f>
        <v/>
      </c>
      <c r="D31" s="89" t="str">
        <f>IF($AF31="","",$AJ31&amp;"")</f>
        <v/>
      </c>
      <c r="E31" s="103" t="str">
        <f>IF($AF31="","",IF($AI31=1,$AG31/1440,INDEX(tblSteps[計画開始日],$AF31)))</f>
        <v/>
      </c>
      <c r="F31" s="103" t="str">
        <f>IF($AF31="","",IF($AI31=1,$AH31/1440,INDEX(tblSteps[計画終了日],$AF31)))</f>
        <v/>
      </c>
      <c r="G31" s="89" t="str">
        <f>IF($AF31="","",INDEX(tblSteps[状態],$AF31)&amp;"")</f>
        <v/>
      </c>
      <c r="H31" s="92" t="str">
        <f>IF($AF31="","",_xlfn.TEXTJOIN("／",TRUE,IF($AI31=0,"終了日時が開始日時以前",""),IF(AND($AI31=1,OR($AH31&lt;=TTDate*1440+ROUND(TTStart*1440,0),$AG31&gt;=TTDate*1440+ROUND(TTEnd*1440,0))),"表示時間外",""),IF(AND($AI31=1,$AG31&lt;TTDate*1440),"前日から継続",""),IF(AND($AI31=1,$AH31&gt;TTDate*1440+1440),"翌日へ継続",""),IF(INDEX(tblSteps[重複数],$AF31)&gt;0,"予定重複の可能性","")))</f>
        <v/>
      </c>
      <c r="I31" s="93" t="str">
        <f>IF(OR($AF31="",I$7=""),"",IF(AND($AI31=1,$AG31&lt;I$7+TTStep,$AH31&gt;I$7),IF(COUNTIFS(tblSteps[担当],$AJ31,tblSteps[重複対象],1,tblSteps[開始分],"&lt;"&amp;(I$7+TTStep),tblSteps[終了分],"&gt;"&amp;I$7)-$AK31&gt;0,"重","■"),""))</f>
        <v/>
      </c>
      <c r="J31" s="93" t="str">
        <f>IF(OR($AF31="",J$7=""),"",IF(AND($AI31=1,$AG31&lt;J$7+TTStep,$AH31&gt;J$7),IF(COUNTIFS(tblSteps[担当],$AJ31,tblSteps[重複対象],1,tblSteps[開始分],"&lt;"&amp;(J$7+TTStep),tblSteps[終了分],"&gt;"&amp;J$7)-$AK31&gt;0,"重","■"),""))</f>
        <v/>
      </c>
      <c r="K31" s="93" t="str">
        <f>IF(OR($AF31="",K$7=""),"",IF(AND($AI31=1,$AG31&lt;K$7+TTStep,$AH31&gt;K$7),IF(COUNTIFS(tblSteps[担当],$AJ31,tblSteps[重複対象],1,tblSteps[開始分],"&lt;"&amp;(K$7+TTStep),tblSteps[終了分],"&gt;"&amp;K$7)-$AK31&gt;0,"重","■"),""))</f>
        <v/>
      </c>
      <c r="L31" s="93" t="str">
        <f>IF(OR($AF31="",L$7=""),"",IF(AND($AI31=1,$AG31&lt;L$7+TTStep,$AH31&gt;L$7),IF(COUNTIFS(tblSteps[担当],$AJ31,tblSteps[重複対象],1,tblSteps[開始分],"&lt;"&amp;(L$7+TTStep),tblSteps[終了分],"&gt;"&amp;L$7)-$AK31&gt;0,"重","■"),""))</f>
        <v/>
      </c>
      <c r="M31" s="93" t="str">
        <f>IF(OR($AF31="",M$7=""),"",IF(AND($AI31=1,$AG31&lt;M$7+TTStep,$AH31&gt;M$7),IF(COUNTIFS(tblSteps[担当],$AJ31,tblSteps[重複対象],1,tblSteps[開始分],"&lt;"&amp;(M$7+TTStep),tblSteps[終了分],"&gt;"&amp;M$7)-$AK31&gt;0,"重","■"),""))</f>
        <v/>
      </c>
      <c r="N31" s="93" t="str">
        <f>IF(OR($AF31="",N$7=""),"",IF(AND($AI31=1,$AG31&lt;N$7+TTStep,$AH31&gt;N$7),IF(COUNTIFS(tblSteps[担当],$AJ31,tblSteps[重複対象],1,tblSteps[開始分],"&lt;"&amp;(N$7+TTStep),tblSteps[終了分],"&gt;"&amp;N$7)-$AK31&gt;0,"重","■"),""))</f>
        <v/>
      </c>
      <c r="O31" s="93" t="str">
        <f>IF(OR($AF31="",O$7=""),"",IF(AND($AI31=1,$AG31&lt;O$7+TTStep,$AH31&gt;O$7),IF(COUNTIFS(tblSteps[担当],$AJ31,tblSteps[重複対象],1,tblSteps[開始分],"&lt;"&amp;(O$7+TTStep),tblSteps[終了分],"&gt;"&amp;O$7)-$AK31&gt;0,"重","■"),""))</f>
        <v/>
      </c>
      <c r="P31" s="93" t="str">
        <f>IF(OR($AF31="",P$7=""),"",IF(AND($AI31=1,$AG31&lt;P$7+TTStep,$AH31&gt;P$7),IF(COUNTIFS(tblSteps[担当],$AJ31,tblSteps[重複対象],1,tblSteps[開始分],"&lt;"&amp;(P$7+TTStep),tblSteps[終了分],"&gt;"&amp;P$7)-$AK31&gt;0,"重","■"),""))</f>
        <v/>
      </c>
      <c r="Q31" s="93" t="str">
        <f>IF(OR($AF31="",Q$7=""),"",IF(AND($AI31=1,$AG31&lt;Q$7+TTStep,$AH31&gt;Q$7),IF(COUNTIFS(tblSteps[担当],$AJ31,tblSteps[重複対象],1,tblSteps[開始分],"&lt;"&amp;(Q$7+TTStep),tblSteps[終了分],"&gt;"&amp;Q$7)-$AK31&gt;0,"重","■"),""))</f>
        <v/>
      </c>
      <c r="R31" s="93" t="str">
        <f>IF(OR($AF31="",R$7=""),"",IF(AND($AI31=1,$AG31&lt;R$7+TTStep,$AH31&gt;R$7),IF(COUNTIFS(tblSteps[担当],$AJ31,tblSteps[重複対象],1,tblSteps[開始分],"&lt;"&amp;(R$7+TTStep),tblSteps[終了分],"&gt;"&amp;R$7)-$AK31&gt;0,"重","■"),""))</f>
        <v/>
      </c>
      <c r="S31" s="93" t="str">
        <f>IF(OR($AF31="",S$7=""),"",IF(AND($AI31=1,$AG31&lt;S$7+TTStep,$AH31&gt;S$7),IF(COUNTIFS(tblSteps[担当],$AJ31,tblSteps[重複対象],1,tblSteps[開始分],"&lt;"&amp;(S$7+TTStep),tblSteps[終了分],"&gt;"&amp;S$7)-$AK31&gt;0,"重","■"),""))</f>
        <v/>
      </c>
      <c r="T31" s="93" t="str">
        <f>IF(OR($AF31="",T$7=""),"",IF(AND($AI31=1,$AG31&lt;T$7+TTStep,$AH31&gt;T$7),IF(COUNTIFS(tblSteps[担当],$AJ31,tblSteps[重複対象],1,tblSteps[開始分],"&lt;"&amp;(T$7+TTStep),tblSteps[終了分],"&gt;"&amp;T$7)-$AK31&gt;0,"重","■"),""))</f>
        <v/>
      </c>
      <c r="U31" s="93" t="str">
        <f>IF(OR($AF31="",U$7=""),"",IF(AND($AI31=1,$AG31&lt;U$7+TTStep,$AH31&gt;U$7),IF(COUNTIFS(tblSteps[担当],$AJ31,tblSteps[重複対象],1,tblSteps[開始分],"&lt;"&amp;(U$7+TTStep),tblSteps[終了分],"&gt;"&amp;U$7)-$AK31&gt;0,"重","■"),""))</f>
        <v/>
      </c>
      <c r="V31" s="93" t="str">
        <f>IF(OR($AF31="",V$7=""),"",IF(AND($AI31=1,$AG31&lt;V$7+TTStep,$AH31&gt;V$7),IF(COUNTIFS(tblSteps[担当],$AJ31,tblSteps[重複対象],1,tblSteps[開始分],"&lt;"&amp;(V$7+TTStep),tblSteps[終了分],"&gt;"&amp;V$7)-$AK31&gt;0,"重","■"),""))</f>
        <v/>
      </c>
      <c r="W31" s="93" t="str">
        <f>IF(OR($AF31="",W$7=""),"",IF(AND($AI31=1,$AG31&lt;W$7+TTStep,$AH31&gt;W$7),IF(COUNTIFS(tblSteps[担当],$AJ31,tblSteps[重複対象],1,tblSteps[開始分],"&lt;"&amp;(W$7+TTStep),tblSteps[終了分],"&gt;"&amp;W$7)-$AK31&gt;0,"重","■"),""))</f>
        <v/>
      </c>
      <c r="X31" s="93" t="str">
        <f>IF(OR($AF31="",X$7=""),"",IF(AND($AI31=1,$AG31&lt;X$7+TTStep,$AH31&gt;X$7),IF(COUNTIFS(tblSteps[担当],$AJ31,tblSteps[重複対象],1,tblSteps[開始分],"&lt;"&amp;(X$7+TTStep),tblSteps[終了分],"&gt;"&amp;X$7)-$AK31&gt;0,"重","■"),""))</f>
        <v/>
      </c>
      <c r="Y31" s="93" t="str">
        <f>IF(OR($AF31="",Y$7=""),"",IF(AND($AI31=1,$AG31&lt;Y$7+TTStep,$AH31&gt;Y$7),IF(COUNTIFS(tblSteps[担当],$AJ31,tblSteps[重複対象],1,tblSteps[開始分],"&lt;"&amp;(Y$7+TTStep),tblSteps[終了分],"&gt;"&amp;Y$7)-$AK31&gt;0,"重","■"),""))</f>
        <v/>
      </c>
      <c r="Z31" s="93" t="str">
        <f>IF(OR($AF31="",Z$7=""),"",IF(AND($AI31=1,$AG31&lt;Z$7+TTStep,$AH31&gt;Z$7),IF(COUNTIFS(tblSteps[担当],$AJ31,tblSteps[重複対象],1,tblSteps[開始分],"&lt;"&amp;(Z$7+TTStep),tblSteps[終了分],"&gt;"&amp;Z$7)-$AK31&gt;0,"重","■"),""))</f>
        <v/>
      </c>
      <c r="AA31" s="93" t="str">
        <f>IF(OR($AF31="",AA$7=""),"",IF(AND($AI31=1,$AG31&lt;AA$7+TTStep,$AH31&gt;AA$7),IF(COUNTIFS(tblSteps[担当],$AJ31,tblSteps[重複対象],1,tblSteps[開始分],"&lt;"&amp;(AA$7+TTStep),tblSteps[終了分],"&gt;"&amp;AA$7)-$AK31&gt;0,"重","■"),""))</f>
        <v/>
      </c>
      <c r="AB31" s="93" t="str">
        <f>IF(OR($AF31="",AB$7=""),"",IF(AND($AI31=1,$AG31&lt;AB$7+TTStep,$AH31&gt;AB$7),IF(COUNTIFS(tblSteps[担当],$AJ31,tblSteps[重複対象],1,tblSteps[開始分],"&lt;"&amp;(AB$7+TTStep),tblSteps[終了分],"&gt;"&amp;AB$7)-$AK31&gt;0,"重","■"),""))</f>
        <v/>
      </c>
      <c r="AC31" s="93" t="str">
        <f>IF(OR($AF31="",AC$7=""),"",IF(AND($AI31=1,$AG31&lt;AC$7+TTStep,$AH31&gt;AC$7),IF(COUNTIFS(tblSteps[担当],$AJ31,tblSteps[重複対象],1,tblSteps[開始分],"&lt;"&amp;(AC$7+TTStep),tblSteps[終了分],"&gt;"&amp;AC$7)-$AK31&gt;0,"重","■"),""))</f>
        <v/>
      </c>
      <c r="AD31" s="93" t="str">
        <f>IF(OR($AF31="",AD$7=""),"",IF(AND($AI31=1,$AG31&lt;AD$7+TTStep,$AH31&gt;AD$7),IF(COUNTIFS(tblSteps[担当],$AJ31,tblSteps[重複対象],1,tblSteps[開始分],"&lt;"&amp;(AD$7+TTStep),tblSteps[終了分],"&gt;"&amp;AD$7)-$AK31&gt;0,"重","■"),""))</f>
        <v/>
      </c>
      <c r="AF31" t="str">
        <f>IF(24&gt;COUNTIF(tblSteps[時間割対象],1),"",IFERROR(MATCH(24,tblSteps[時間割順位],0),""))</f>
        <v/>
      </c>
      <c r="AG31" t="str">
        <f>IF($AF31="","",INDEX(tblSteps[開始分],$AF31))</f>
        <v/>
      </c>
      <c r="AH31" t="str">
        <f>IF($AF31="","",INDEX(tblSteps[終了分],$AF31))</f>
        <v/>
      </c>
      <c r="AI31" t="str">
        <f>IF($AF31="","",INDEX(tblSteps[時刻OK],$AF31))</f>
        <v/>
      </c>
      <c r="AJ31" t="str">
        <f>IF($AF31="","",INDEX(tblSteps[担当],$AF31))</f>
        <v/>
      </c>
      <c r="AK31" t="str">
        <f>IF($AF31="","",INDEX(tblSteps[重複対象],$AF31))</f>
        <v/>
      </c>
      <c r="AL31" t="str">
        <f>IF($AF31="","",INDEX(tblSteps[案件ID],$AF31))</f>
        <v/>
      </c>
    </row>
    <row r="32" ht="20" customHeight="1">
      <c r="A32" s="89" t="str">
        <f>IF($AF32="","",INDEX(tblSteps[工程ID],$AF32)&amp;"")</f>
        <v/>
      </c>
      <c r="B32" s="88" t="str">
        <f>IF($AF32="","",$AL32&amp;" "&amp;INDEX(tblSteps[案件名],$AF32))</f>
        <v/>
      </c>
      <c r="C32" s="88" t="str">
        <f>IF($AF32="","",INDEX(tblSteps[工程名],$AF32)&amp;"")</f>
        <v/>
      </c>
      <c r="D32" s="89" t="str">
        <f>IF($AF32="","",$AJ32&amp;"")</f>
        <v/>
      </c>
      <c r="E32" s="103" t="str">
        <f>IF($AF32="","",IF($AI32=1,$AG32/1440,INDEX(tblSteps[計画開始日],$AF32)))</f>
        <v/>
      </c>
      <c r="F32" s="103" t="str">
        <f>IF($AF32="","",IF($AI32=1,$AH32/1440,INDEX(tblSteps[計画終了日],$AF32)))</f>
        <v/>
      </c>
      <c r="G32" s="89" t="str">
        <f>IF($AF32="","",INDEX(tblSteps[状態],$AF32)&amp;"")</f>
        <v/>
      </c>
      <c r="H32" s="92" t="str">
        <f>IF($AF32="","",_xlfn.TEXTJOIN("／",TRUE,IF($AI32=0,"終了日時が開始日時以前",""),IF(AND($AI32=1,OR($AH32&lt;=TTDate*1440+ROUND(TTStart*1440,0),$AG32&gt;=TTDate*1440+ROUND(TTEnd*1440,0))),"表示時間外",""),IF(AND($AI32=1,$AG32&lt;TTDate*1440),"前日から継続",""),IF(AND($AI32=1,$AH32&gt;TTDate*1440+1440),"翌日へ継続",""),IF(INDEX(tblSteps[重複数],$AF32)&gt;0,"予定重複の可能性","")))</f>
        <v/>
      </c>
      <c r="I32" s="93" t="str">
        <f>IF(OR($AF32="",I$7=""),"",IF(AND($AI32=1,$AG32&lt;I$7+TTStep,$AH32&gt;I$7),IF(COUNTIFS(tblSteps[担当],$AJ32,tblSteps[重複対象],1,tblSteps[開始分],"&lt;"&amp;(I$7+TTStep),tblSteps[終了分],"&gt;"&amp;I$7)-$AK32&gt;0,"重","■"),""))</f>
        <v/>
      </c>
      <c r="J32" s="93" t="str">
        <f>IF(OR($AF32="",J$7=""),"",IF(AND($AI32=1,$AG32&lt;J$7+TTStep,$AH32&gt;J$7),IF(COUNTIFS(tblSteps[担当],$AJ32,tblSteps[重複対象],1,tblSteps[開始分],"&lt;"&amp;(J$7+TTStep),tblSteps[終了分],"&gt;"&amp;J$7)-$AK32&gt;0,"重","■"),""))</f>
        <v/>
      </c>
      <c r="K32" s="93" t="str">
        <f>IF(OR($AF32="",K$7=""),"",IF(AND($AI32=1,$AG32&lt;K$7+TTStep,$AH32&gt;K$7),IF(COUNTIFS(tblSteps[担当],$AJ32,tblSteps[重複対象],1,tblSteps[開始分],"&lt;"&amp;(K$7+TTStep),tblSteps[終了分],"&gt;"&amp;K$7)-$AK32&gt;0,"重","■"),""))</f>
        <v/>
      </c>
      <c r="L32" s="93" t="str">
        <f>IF(OR($AF32="",L$7=""),"",IF(AND($AI32=1,$AG32&lt;L$7+TTStep,$AH32&gt;L$7),IF(COUNTIFS(tblSteps[担当],$AJ32,tblSteps[重複対象],1,tblSteps[開始分],"&lt;"&amp;(L$7+TTStep),tblSteps[終了分],"&gt;"&amp;L$7)-$AK32&gt;0,"重","■"),""))</f>
        <v/>
      </c>
      <c r="M32" s="93" t="str">
        <f>IF(OR($AF32="",M$7=""),"",IF(AND($AI32=1,$AG32&lt;M$7+TTStep,$AH32&gt;M$7),IF(COUNTIFS(tblSteps[担当],$AJ32,tblSteps[重複対象],1,tblSteps[開始分],"&lt;"&amp;(M$7+TTStep),tblSteps[終了分],"&gt;"&amp;M$7)-$AK32&gt;0,"重","■"),""))</f>
        <v/>
      </c>
      <c r="N32" s="93" t="str">
        <f>IF(OR($AF32="",N$7=""),"",IF(AND($AI32=1,$AG32&lt;N$7+TTStep,$AH32&gt;N$7),IF(COUNTIFS(tblSteps[担当],$AJ32,tblSteps[重複対象],1,tblSteps[開始分],"&lt;"&amp;(N$7+TTStep),tblSteps[終了分],"&gt;"&amp;N$7)-$AK32&gt;0,"重","■"),""))</f>
        <v/>
      </c>
      <c r="O32" s="93" t="str">
        <f>IF(OR($AF32="",O$7=""),"",IF(AND($AI32=1,$AG32&lt;O$7+TTStep,$AH32&gt;O$7),IF(COUNTIFS(tblSteps[担当],$AJ32,tblSteps[重複対象],1,tblSteps[開始分],"&lt;"&amp;(O$7+TTStep),tblSteps[終了分],"&gt;"&amp;O$7)-$AK32&gt;0,"重","■"),""))</f>
        <v/>
      </c>
      <c r="P32" s="93" t="str">
        <f>IF(OR($AF32="",P$7=""),"",IF(AND($AI32=1,$AG32&lt;P$7+TTStep,$AH32&gt;P$7),IF(COUNTIFS(tblSteps[担当],$AJ32,tblSteps[重複対象],1,tblSteps[開始分],"&lt;"&amp;(P$7+TTStep),tblSteps[終了分],"&gt;"&amp;P$7)-$AK32&gt;0,"重","■"),""))</f>
        <v/>
      </c>
      <c r="Q32" s="93" t="str">
        <f>IF(OR($AF32="",Q$7=""),"",IF(AND($AI32=1,$AG32&lt;Q$7+TTStep,$AH32&gt;Q$7),IF(COUNTIFS(tblSteps[担当],$AJ32,tblSteps[重複対象],1,tblSteps[開始分],"&lt;"&amp;(Q$7+TTStep),tblSteps[終了分],"&gt;"&amp;Q$7)-$AK32&gt;0,"重","■"),""))</f>
        <v/>
      </c>
      <c r="R32" s="93" t="str">
        <f>IF(OR($AF32="",R$7=""),"",IF(AND($AI32=1,$AG32&lt;R$7+TTStep,$AH32&gt;R$7),IF(COUNTIFS(tblSteps[担当],$AJ32,tblSteps[重複対象],1,tblSteps[開始分],"&lt;"&amp;(R$7+TTStep),tblSteps[終了分],"&gt;"&amp;R$7)-$AK32&gt;0,"重","■"),""))</f>
        <v/>
      </c>
      <c r="S32" s="93" t="str">
        <f>IF(OR($AF32="",S$7=""),"",IF(AND($AI32=1,$AG32&lt;S$7+TTStep,$AH32&gt;S$7),IF(COUNTIFS(tblSteps[担当],$AJ32,tblSteps[重複対象],1,tblSteps[開始分],"&lt;"&amp;(S$7+TTStep),tblSteps[終了分],"&gt;"&amp;S$7)-$AK32&gt;0,"重","■"),""))</f>
        <v/>
      </c>
      <c r="T32" s="93" t="str">
        <f>IF(OR($AF32="",T$7=""),"",IF(AND($AI32=1,$AG32&lt;T$7+TTStep,$AH32&gt;T$7),IF(COUNTIFS(tblSteps[担当],$AJ32,tblSteps[重複対象],1,tblSteps[開始分],"&lt;"&amp;(T$7+TTStep),tblSteps[終了分],"&gt;"&amp;T$7)-$AK32&gt;0,"重","■"),""))</f>
        <v/>
      </c>
      <c r="U32" s="93" t="str">
        <f>IF(OR($AF32="",U$7=""),"",IF(AND($AI32=1,$AG32&lt;U$7+TTStep,$AH32&gt;U$7),IF(COUNTIFS(tblSteps[担当],$AJ32,tblSteps[重複対象],1,tblSteps[開始分],"&lt;"&amp;(U$7+TTStep),tblSteps[終了分],"&gt;"&amp;U$7)-$AK32&gt;0,"重","■"),""))</f>
        <v/>
      </c>
      <c r="V32" s="93" t="str">
        <f>IF(OR($AF32="",V$7=""),"",IF(AND($AI32=1,$AG32&lt;V$7+TTStep,$AH32&gt;V$7),IF(COUNTIFS(tblSteps[担当],$AJ32,tblSteps[重複対象],1,tblSteps[開始分],"&lt;"&amp;(V$7+TTStep),tblSteps[終了分],"&gt;"&amp;V$7)-$AK32&gt;0,"重","■"),""))</f>
        <v/>
      </c>
      <c r="W32" s="93" t="str">
        <f>IF(OR($AF32="",W$7=""),"",IF(AND($AI32=1,$AG32&lt;W$7+TTStep,$AH32&gt;W$7),IF(COUNTIFS(tblSteps[担当],$AJ32,tblSteps[重複対象],1,tblSteps[開始分],"&lt;"&amp;(W$7+TTStep),tblSteps[終了分],"&gt;"&amp;W$7)-$AK32&gt;0,"重","■"),""))</f>
        <v/>
      </c>
      <c r="X32" s="93" t="str">
        <f>IF(OR($AF32="",X$7=""),"",IF(AND($AI32=1,$AG32&lt;X$7+TTStep,$AH32&gt;X$7),IF(COUNTIFS(tblSteps[担当],$AJ32,tblSteps[重複対象],1,tblSteps[開始分],"&lt;"&amp;(X$7+TTStep),tblSteps[終了分],"&gt;"&amp;X$7)-$AK32&gt;0,"重","■"),""))</f>
        <v/>
      </c>
      <c r="Y32" s="93" t="str">
        <f>IF(OR($AF32="",Y$7=""),"",IF(AND($AI32=1,$AG32&lt;Y$7+TTStep,$AH32&gt;Y$7),IF(COUNTIFS(tblSteps[担当],$AJ32,tblSteps[重複対象],1,tblSteps[開始分],"&lt;"&amp;(Y$7+TTStep),tblSteps[終了分],"&gt;"&amp;Y$7)-$AK32&gt;0,"重","■"),""))</f>
        <v/>
      </c>
      <c r="Z32" s="93" t="str">
        <f>IF(OR($AF32="",Z$7=""),"",IF(AND($AI32=1,$AG32&lt;Z$7+TTStep,$AH32&gt;Z$7),IF(COUNTIFS(tblSteps[担当],$AJ32,tblSteps[重複対象],1,tblSteps[開始分],"&lt;"&amp;(Z$7+TTStep),tblSteps[終了分],"&gt;"&amp;Z$7)-$AK32&gt;0,"重","■"),""))</f>
        <v/>
      </c>
      <c r="AA32" s="93" t="str">
        <f>IF(OR($AF32="",AA$7=""),"",IF(AND($AI32=1,$AG32&lt;AA$7+TTStep,$AH32&gt;AA$7),IF(COUNTIFS(tblSteps[担当],$AJ32,tblSteps[重複対象],1,tblSteps[開始分],"&lt;"&amp;(AA$7+TTStep),tblSteps[終了分],"&gt;"&amp;AA$7)-$AK32&gt;0,"重","■"),""))</f>
        <v/>
      </c>
      <c r="AB32" s="93" t="str">
        <f>IF(OR($AF32="",AB$7=""),"",IF(AND($AI32=1,$AG32&lt;AB$7+TTStep,$AH32&gt;AB$7),IF(COUNTIFS(tblSteps[担当],$AJ32,tblSteps[重複対象],1,tblSteps[開始分],"&lt;"&amp;(AB$7+TTStep),tblSteps[終了分],"&gt;"&amp;AB$7)-$AK32&gt;0,"重","■"),""))</f>
        <v/>
      </c>
      <c r="AC32" s="93" t="str">
        <f>IF(OR($AF32="",AC$7=""),"",IF(AND($AI32=1,$AG32&lt;AC$7+TTStep,$AH32&gt;AC$7),IF(COUNTIFS(tblSteps[担当],$AJ32,tblSteps[重複対象],1,tblSteps[開始分],"&lt;"&amp;(AC$7+TTStep),tblSteps[終了分],"&gt;"&amp;AC$7)-$AK32&gt;0,"重","■"),""))</f>
        <v/>
      </c>
      <c r="AD32" s="93" t="str">
        <f>IF(OR($AF32="",AD$7=""),"",IF(AND($AI32=1,$AG32&lt;AD$7+TTStep,$AH32&gt;AD$7),IF(COUNTIFS(tblSteps[担当],$AJ32,tblSteps[重複対象],1,tblSteps[開始分],"&lt;"&amp;(AD$7+TTStep),tblSteps[終了分],"&gt;"&amp;AD$7)-$AK32&gt;0,"重","■"),""))</f>
        <v/>
      </c>
      <c r="AF32" t="str">
        <f>IF(25&gt;COUNTIF(tblSteps[時間割対象],1),"",IFERROR(MATCH(25,tblSteps[時間割順位],0),""))</f>
        <v/>
      </c>
      <c r="AG32" t="str">
        <f>IF($AF32="","",INDEX(tblSteps[開始分],$AF32))</f>
        <v/>
      </c>
      <c r="AH32" t="str">
        <f>IF($AF32="","",INDEX(tblSteps[終了分],$AF32))</f>
        <v/>
      </c>
      <c r="AI32" t="str">
        <f>IF($AF32="","",INDEX(tblSteps[時刻OK],$AF32))</f>
        <v/>
      </c>
      <c r="AJ32" t="str">
        <f>IF($AF32="","",INDEX(tblSteps[担当],$AF32))</f>
        <v/>
      </c>
      <c r="AK32" t="str">
        <f>IF($AF32="","",INDEX(tblSteps[重複対象],$AF32))</f>
        <v/>
      </c>
      <c r="AL32" t="str">
        <f>IF($AF32="","",INDEX(tblSteps[案件ID],$AF32))</f>
        <v/>
      </c>
    </row>
    <row r="33" ht="20" customHeight="1">
      <c r="A33" s="89" t="str">
        <f>IF($AF33="","",INDEX(tblSteps[工程ID],$AF33)&amp;"")</f>
        <v/>
      </c>
      <c r="B33" s="88" t="str">
        <f>IF($AF33="","",$AL33&amp;" "&amp;INDEX(tblSteps[案件名],$AF33))</f>
        <v/>
      </c>
      <c r="C33" s="88" t="str">
        <f>IF($AF33="","",INDEX(tblSteps[工程名],$AF33)&amp;"")</f>
        <v/>
      </c>
      <c r="D33" s="89" t="str">
        <f>IF($AF33="","",$AJ33&amp;"")</f>
        <v/>
      </c>
      <c r="E33" s="103" t="str">
        <f>IF($AF33="","",IF($AI33=1,$AG33/1440,INDEX(tblSteps[計画開始日],$AF33)))</f>
        <v/>
      </c>
      <c r="F33" s="103" t="str">
        <f>IF($AF33="","",IF($AI33=1,$AH33/1440,INDEX(tblSteps[計画終了日],$AF33)))</f>
        <v/>
      </c>
      <c r="G33" s="89" t="str">
        <f>IF($AF33="","",INDEX(tblSteps[状態],$AF33)&amp;"")</f>
        <v/>
      </c>
      <c r="H33" s="92" t="str">
        <f>IF($AF33="","",_xlfn.TEXTJOIN("／",TRUE,IF($AI33=0,"終了日時が開始日時以前",""),IF(AND($AI33=1,OR($AH33&lt;=TTDate*1440+ROUND(TTStart*1440,0),$AG33&gt;=TTDate*1440+ROUND(TTEnd*1440,0))),"表示時間外",""),IF(AND($AI33=1,$AG33&lt;TTDate*1440),"前日から継続",""),IF(AND($AI33=1,$AH33&gt;TTDate*1440+1440),"翌日へ継続",""),IF(INDEX(tblSteps[重複数],$AF33)&gt;0,"予定重複の可能性","")))</f>
        <v/>
      </c>
      <c r="I33" s="93" t="str">
        <f>IF(OR($AF33="",I$7=""),"",IF(AND($AI33=1,$AG33&lt;I$7+TTStep,$AH33&gt;I$7),IF(COUNTIFS(tblSteps[担当],$AJ33,tblSteps[重複対象],1,tblSteps[開始分],"&lt;"&amp;(I$7+TTStep),tblSteps[終了分],"&gt;"&amp;I$7)-$AK33&gt;0,"重","■"),""))</f>
        <v/>
      </c>
      <c r="J33" s="93" t="str">
        <f>IF(OR($AF33="",J$7=""),"",IF(AND($AI33=1,$AG33&lt;J$7+TTStep,$AH33&gt;J$7),IF(COUNTIFS(tblSteps[担当],$AJ33,tblSteps[重複対象],1,tblSteps[開始分],"&lt;"&amp;(J$7+TTStep),tblSteps[終了分],"&gt;"&amp;J$7)-$AK33&gt;0,"重","■"),""))</f>
        <v/>
      </c>
      <c r="K33" s="93" t="str">
        <f>IF(OR($AF33="",K$7=""),"",IF(AND($AI33=1,$AG33&lt;K$7+TTStep,$AH33&gt;K$7),IF(COUNTIFS(tblSteps[担当],$AJ33,tblSteps[重複対象],1,tblSteps[開始分],"&lt;"&amp;(K$7+TTStep),tblSteps[終了分],"&gt;"&amp;K$7)-$AK33&gt;0,"重","■"),""))</f>
        <v/>
      </c>
      <c r="L33" s="93" t="str">
        <f>IF(OR($AF33="",L$7=""),"",IF(AND($AI33=1,$AG33&lt;L$7+TTStep,$AH33&gt;L$7),IF(COUNTIFS(tblSteps[担当],$AJ33,tblSteps[重複対象],1,tblSteps[開始分],"&lt;"&amp;(L$7+TTStep),tblSteps[終了分],"&gt;"&amp;L$7)-$AK33&gt;0,"重","■"),""))</f>
        <v/>
      </c>
      <c r="M33" s="93" t="str">
        <f>IF(OR($AF33="",M$7=""),"",IF(AND($AI33=1,$AG33&lt;M$7+TTStep,$AH33&gt;M$7),IF(COUNTIFS(tblSteps[担当],$AJ33,tblSteps[重複対象],1,tblSteps[開始分],"&lt;"&amp;(M$7+TTStep),tblSteps[終了分],"&gt;"&amp;M$7)-$AK33&gt;0,"重","■"),""))</f>
        <v/>
      </c>
      <c r="N33" s="93" t="str">
        <f>IF(OR($AF33="",N$7=""),"",IF(AND($AI33=1,$AG33&lt;N$7+TTStep,$AH33&gt;N$7),IF(COUNTIFS(tblSteps[担当],$AJ33,tblSteps[重複対象],1,tblSteps[開始分],"&lt;"&amp;(N$7+TTStep),tblSteps[終了分],"&gt;"&amp;N$7)-$AK33&gt;0,"重","■"),""))</f>
        <v/>
      </c>
      <c r="O33" s="93" t="str">
        <f>IF(OR($AF33="",O$7=""),"",IF(AND($AI33=1,$AG33&lt;O$7+TTStep,$AH33&gt;O$7),IF(COUNTIFS(tblSteps[担当],$AJ33,tblSteps[重複対象],1,tblSteps[開始分],"&lt;"&amp;(O$7+TTStep),tblSteps[終了分],"&gt;"&amp;O$7)-$AK33&gt;0,"重","■"),""))</f>
        <v/>
      </c>
      <c r="P33" s="93" t="str">
        <f>IF(OR($AF33="",P$7=""),"",IF(AND($AI33=1,$AG33&lt;P$7+TTStep,$AH33&gt;P$7),IF(COUNTIFS(tblSteps[担当],$AJ33,tblSteps[重複対象],1,tblSteps[開始分],"&lt;"&amp;(P$7+TTStep),tblSteps[終了分],"&gt;"&amp;P$7)-$AK33&gt;0,"重","■"),""))</f>
        <v/>
      </c>
      <c r="Q33" s="93" t="str">
        <f>IF(OR($AF33="",Q$7=""),"",IF(AND($AI33=1,$AG33&lt;Q$7+TTStep,$AH33&gt;Q$7),IF(COUNTIFS(tblSteps[担当],$AJ33,tblSteps[重複対象],1,tblSteps[開始分],"&lt;"&amp;(Q$7+TTStep),tblSteps[終了分],"&gt;"&amp;Q$7)-$AK33&gt;0,"重","■"),""))</f>
        <v/>
      </c>
      <c r="R33" s="93" t="str">
        <f>IF(OR($AF33="",R$7=""),"",IF(AND($AI33=1,$AG33&lt;R$7+TTStep,$AH33&gt;R$7),IF(COUNTIFS(tblSteps[担当],$AJ33,tblSteps[重複対象],1,tblSteps[開始分],"&lt;"&amp;(R$7+TTStep),tblSteps[終了分],"&gt;"&amp;R$7)-$AK33&gt;0,"重","■"),""))</f>
        <v/>
      </c>
      <c r="S33" s="93" t="str">
        <f>IF(OR($AF33="",S$7=""),"",IF(AND($AI33=1,$AG33&lt;S$7+TTStep,$AH33&gt;S$7),IF(COUNTIFS(tblSteps[担当],$AJ33,tblSteps[重複対象],1,tblSteps[開始分],"&lt;"&amp;(S$7+TTStep),tblSteps[終了分],"&gt;"&amp;S$7)-$AK33&gt;0,"重","■"),""))</f>
        <v/>
      </c>
      <c r="T33" s="93" t="str">
        <f>IF(OR($AF33="",T$7=""),"",IF(AND($AI33=1,$AG33&lt;T$7+TTStep,$AH33&gt;T$7),IF(COUNTIFS(tblSteps[担当],$AJ33,tblSteps[重複対象],1,tblSteps[開始分],"&lt;"&amp;(T$7+TTStep),tblSteps[終了分],"&gt;"&amp;T$7)-$AK33&gt;0,"重","■"),""))</f>
        <v/>
      </c>
      <c r="U33" s="93" t="str">
        <f>IF(OR($AF33="",U$7=""),"",IF(AND($AI33=1,$AG33&lt;U$7+TTStep,$AH33&gt;U$7),IF(COUNTIFS(tblSteps[担当],$AJ33,tblSteps[重複対象],1,tblSteps[開始分],"&lt;"&amp;(U$7+TTStep),tblSteps[終了分],"&gt;"&amp;U$7)-$AK33&gt;0,"重","■"),""))</f>
        <v/>
      </c>
      <c r="V33" s="93" t="str">
        <f>IF(OR($AF33="",V$7=""),"",IF(AND($AI33=1,$AG33&lt;V$7+TTStep,$AH33&gt;V$7),IF(COUNTIFS(tblSteps[担当],$AJ33,tblSteps[重複対象],1,tblSteps[開始分],"&lt;"&amp;(V$7+TTStep),tblSteps[終了分],"&gt;"&amp;V$7)-$AK33&gt;0,"重","■"),""))</f>
        <v/>
      </c>
      <c r="W33" s="93" t="str">
        <f>IF(OR($AF33="",W$7=""),"",IF(AND($AI33=1,$AG33&lt;W$7+TTStep,$AH33&gt;W$7),IF(COUNTIFS(tblSteps[担当],$AJ33,tblSteps[重複対象],1,tblSteps[開始分],"&lt;"&amp;(W$7+TTStep),tblSteps[終了分],"&gt;"&amp;W$7)-$AK33&gt;0,"重","■"),""))</f>
        <v/>
      </c>
      <c r="X33" s="93" t="str">
        <f>IF(OR($AF33="",X$7=""),"",IF(AND($AI33=1,$AG33&lt;X$7+TTStep,$AH33&gt;X$7),IF(COUNTIFS(tblSteps[担当],$AJ33,tblSteps[重複対象],1,tblSteps[開始分],"&lt;"&amp;(X$7+TTStep),tblSteps[終了分],"&gt;"&amp;X$7)-$AK33&gt;0,"重","■"),""))</f>
        <v/>
      </c>
      <c r="Y33" s="93" t="str">
        <f>IF(OR($AF33="",Y$7=""),"",IF(AND($AI33=1,$AG33&lt;Y$7+TTStep,$AH33&gt;Y$7),IF(COUNTIFS(tblSteps[担当],$AJ33,tblSteps[重複対象],1,tblSteps[開始分],"&lt;"&amp;(Y$7+TTStep),tblSteps[終了分],"&gt;"&amp;Y$7)-$AK33&gt;0,"重","■"),""))</f>
        <v/>
      </c>
      <c r="Z33" s="93" t="str">
        <f>IF(OR($AF33="",Z$7=""),"",IF(AND($AI33=1,$AG33&lt;Z$7+TTStep,$AH33&gt;Z$7),IF(COUNTIFS(tblSteps[担当],$AJ33,tblSteps[重複対象],1,tblSteps[開始分],"&lt;"&amp;(Z$7+TTStep),tblSteps[終了分],"&gt;"&amp;Z$7)-$AK33&gt;0,"重","■"),""))</f>
        <v/>
      </c>
      <c r="AA33" s="93" t="str">
        <f>IF(OR($AF33="",AA$7=""),"",IF(AND($AI33=1,$AG33&lt;AA$7+TTStep,$AH33&gt;AA$7),IF(COUNTIFS(tblSteps[担当],$AJ33,tblSteps[重複対象],1,tblSteps[開始分],"&lt;"&amp;(AA$7+TTStep),tblSteps[終了分],"&gt;"&amp;AA$7)-$AK33&gt;0,"重","■"),""))</f>
        <v/>
      </c>
      <c r="AB33" s="93" t="str">
        <f>IF(OR($AF33="",AB$7=""),"",IF(AND($AI33=1,$AG33&lt;AB$7+TTStep,$AH33&gt;AB$7),IF(COUNTIFS(tblSteps[担当],$AJ33,tblSteps[重複対象],1,tblSteps[開始分],"&lt;"&amp;(AB$7+TTStep),tblSteps[終了分],"&gt;"&amp;AB$7)-$AK33&gt;0,"重","■"),""))</f>
        <v/>
      </c>
      <c r="AC33" s="93" t="str">
        <f>IF(OR($AF33="",AC$7=""),"",IF(AND($AI33=1,$AG33&lt;AC$7+TTStep,$AH33&gt;AC$7),IF(COUNTIFS(tblSteps[担当],$AJ33,tblSteps[重複対象],1,tblSteps[開始分],"&lt;"&amp;(AC$7+TTStep),tblSteps[終了分],"&gt;"&amp;AC$7)-$AK33&gt;0,"重","■"),""))</f>
        <v/>
      </c>
      <c r="AD33" s="93" t="str">
        <f>IF(OR($AF33="",AD$7=""),"",IF(AND($AI33=1,$AG33&lt;AD$7+TTStep,$AH33&gt;AD$7),IF(COUNTIFS(tblSteps[担当],$AJ33,tblSteps[重複対象],1,tblSteps[開始分],"&lt;"&amp;(AD$7+TTStep),tblSteps[終了分],"&gt;"&amp;AD$7)-$AK33&gt;0,"重","■"),""))</f>
        <v/>
      </c>
      <c r="AF33" t="str">
        <f>IF(26&gt;COUNTIF(tblSteps[時間割対象],1),"",IFERROR(MATCH(26,tblSteps[時間割順位],0),""))</f>
        <v/>
      </c>
      <c r="AG33" t="str">
        <f>IF($AF33="","",INDEX(tblSteps[開始分],$AF33))</f>
        <v/>
      </c>
      <c r="AH33" t="str">
        <f>IF($AF33="","",INDEX(tblSteps[終了分],$AF33))</f>
        <v/>
      </c>
      <c r="AI33" t="str">
        <f>IF($AF33="","",INDEX(tblSteps[時刻OK],$AF33))</f>
        <v/>
      </c>
      <c r="AJ33" t="str">
        <f>IF($AF33="","",INDEX(tblSteps[担当],$AF33))</f>
        <v/>
      </c>
      <c r="AK33" t="str">
        <f>IF($AF33="","",INDEX(tblSteps[重複対象],$AF33))</f>
        <v/>
      </c>
      <c r="AL33" t="str">
        <f>IF($AF33="","",INDEX(tblSteps[案件ID],$AF33))</f>
        <v/>
      </c>
    </row>
    <row r="34" ht="20" customHeight="1">
      <c r="A34" s="89" t="str">
        <f>IF($AF34="","",INDEX(tblSteps[工程ID],$AF34)&amp;"")</f>
        <v/>
      </c>
      <c r="B34" s="88" t="str">
        <f>IF($AF34="","",$AL34&amp;" "&amp;INDEX(tblSteps[案件名],$AF34))</f>
        <v/>
      </c>
      <c r="C34" s="88" t="str">
        <f>IF($AF34="","",INDEX(tblSteps[工程名],$AF34)&amp;"")</f>
        <v/>
      </c>
      <c r="D34" s="89" t="str">
        <f>IF($AF34="","",$AJ34&amp;"")</f>
        <v/>
      </c>
      <c r="E34" s="103" t="str">
        <f>IF($AF34="","",IF($AI34=1,$AG34/1440,INDEX(tblSteps[計画開始日],$AF34)))</f>
        <v/>
      </c>
      <c r="F34" s="103" t="str">
        <f>IF($AF34="","",IF($AI34=1,$AH34/1440,INDEX(tblSteps[計画終了日],$AF34)))</f>
        <v/>
      </c>
      <c r="G34" s="89" t="str">
        <f>IF($AF34="","",INDEX(tblSteps[状態],$AF34)&amp;"")</f>
        <v/>
      </c>
      <c r="H34" s="92" t="str">
        <f>IF($AF34="","",_xlfn.TEXTJOIN("／",TRUE,IF($AI34=0,"終了日時が開始日時以前",""),IF(AND($AI34=1,OR($AH34&lt;=TTDate*1440+ROUND(TTStart*1440,0),$AG34&gt;=TTDate*1440+ROUND(TTEnd*1440,0))),"表示時間外",""),IF(AND($AI34=1,$AG34&lt;TTDate*1440),"前日から継続",""),IF(AND($AI34=1,$AH34&gt;TTDate*1440+1440),"翌日へ継続",""),IF(INDEX(tblSteps[重複数],$AF34)&gt;0,"予定重複の可能性","")))</f>
        <v/>
      </c>
      <c r="I34" s="93" t="str">
        <f>IF(OR($AF34="",I$7=""),"",IF(AND($AI34=1,$AG34&lt;I$7+TTStep,$AH34&gt;I$7),IF(COUNTIFS(tblSteps[担当],$AJ34,tblSteps[重複対象],1,tblSteps[開始分],"&lt;"&amp;(I$7+TTStep),tblSteps[終了分],"&gt;"&amp;I$7)-$AK34&gt;0,"重","■"),""))</f>
        <v/>
      </c>
      <c r="J34" s="93" t="str">
        <f>IF(OR($AF34="",J$7=""),"",IF(AND($AI34=1,$AG34&lt;J$7+TTStep,$AH34&gt;J$7),IF(COUNTIFS(tblSteps[担当],$AJ34,tblSteps[重複対象],1,tblSteps[開始分],"&lt;"&amp;(J$7+TTStep),tblSteps[終了分],"&gt;"&amp;J$7)-$AK34&gt;0,"重","■"),""))</f>
        <v/>
      </c>
      <c r="K34" s="93" t="str">
        <f>IF(OR($AF34="",K$7=""),"",IF(AND($AI34=1,$AG34&lt;K$7+TTStep,$AH34&gt;K$7),IF(COUNTIFS(tblSteps[担当],$AJ34,tblSteps[重複対象],1,tblSteps[開始分],"&lt;"&amp;(K$7+TTStep),tblSteps[終了分],"&gt;"&amp;K$7)-$AK34&gt;0,"重","■"),""))</f>
        <v/>
      </c>
      <c r="L34" s="93" t="str">
        <f>IF(OR($AF34="",L$7=""),"",IF(AND($AI34=1,$AG34&lt;L$7+TTStep,$AH34&gt;L$7),IF(COUNTIFS(tblSteps[担当],$AJ34,tblSteps[重複対象],1,tblSteps[開始分],"&lt;"&amp;(L$7+TTStep),tblSteps[終了分],"&gt;"&amp;L$7)-$AK34&gt;0,"重","■"),""))</f>
        <v/>
      </c>
      <c r="M34" s="93" t="str">
        <f>IF(OR($AF34="",M$7=""),"",IF(AND($AI34=1,$AG34&lt;M$7+TTStep,$AH34&gt;M$7),IF(COUNTIFS(tblSteps[担当],$AJ34,tblSteps[重複対象],1,tblSteps[開始分],"&lt;"&amp;(M$7+TTStep),tblSteps[終了分],"&gt;"&amp;M$7)-$AK34&gt;0,"重","■"),""))</f>
        <v/>
      </c>
      <c r="N34" s="93" t="str">
        <f>IF(OR($AF34="",N$7=""),"",IF(AND($AI34=1,$AG34&lt;N$7+TTStep,$AH34&gt;N$7),IF(COUNTIFS(tblSteps[担当],$AJ34,tblSteps[重複対象],1,tblSteps[開始分],"&lt;"&amp;(N$7+TTStep),tblSteps[終了分],"&gt;"&amp;N$7)-$AK34&gt;0,"重","■"),""))</f>
        <v/>
      </c>
      <c r="O34" s="93" t="str">
        <f>IF(OR($AF34="",O$7=""),"",IF(AND($AI34=1,$AG34&lt;O$7+TTStep,$AH34&gt;O$7),IF(COUNTIFS(tblSteps[担当],$AJ34,tblSteps[重複対象],1,tblSteps[開始分],"&lt;"&amp;(O$7+TTStep),tblSteps[終了分],"&gt;"&amp;O$7)-$AK34&gt;0,"重","■"),""))</f>
        <v/>
      </c>
      <c r="P34" s="93" t="str">
        <f>IF(OR($AF34="",P$7=""),"",IF(AND($AI34=1,$AG34&lt;P$7+TTStep,$AH34&gt;P$7),IF(COUNTIFS(tblSteps[担当],$AJ34,tblSteps[重複対象],1,tblSteps[開始分],"&lt;"&amp;(P$7+TTStep),tblSteps[終了分],"&gt;"&amp;P$7)-$AK34&gt;0,"重","■"),""))</f>
        <v/>
      </c>
      <c r="Q34" s="93" t="str">
        <f>IF(OR($AF34="",Q$7=""),"",IF(AND($AI34=1,$AG34&lt;Q$7+TTStep,$AH34&gt;Q$7),IF(COUNTIFS(tblSteps[担当],$AJ34,tblSteps[重複対象],1,tblSteps[開始分],"&lt;"&amp;(Q$7+TTStep),tblSteps[終了分],"&gt;"&amp;Q$7)-$AK34&gt;0,"重","■"),""))</f>
        <v/>
      </c>
      <c r="R34" s="93" t="str">
        <f>IF(OR($AF34="",R$7=""),"",IF(AND($AI34=1,$AG34&lt;R$7+TTStep,$AH34&gt;R$7),IF(COUNTIFS(tblSteps[担当],$AJ34,tblSteps[重複対象],1,tblSteps[開始分],"&lt;"&amp;(R$7+TTStep),tblSteps[終了分],"&gt;"&amp;R$7)-$AK34&gt;0,"重","■"),""))</f>
        <v/>
      </c>
      <c r="S34" s="93" t="str">
        <f>IF(OR($AF34="",S$7=""),"",IF(AND($AI34=1,$AG34&lt;S$7+TTStep,$AH34&gt;S$7),IF(COUNTIFS(tblSteps[担当],$AJ34,tblSteps[重複対象],1,tblSteps[開始分],"&lt;"&amp;(S$7+TTStep),tblSteps[終了分],"&gt;"&amp;S$7)-$AK34&gt;0,"重","■"),""))</f>
        <v/>
      </c>
      <c r="T34" s="93" t="str">
        <f>IF(OR($AF34="",T$7=""),"",IF(AND($AI34=1,$AG34&lt;T$7+TTStep,$AH34&gt;T$7),IF(COUNTIFS(tblSteps[担当],$AJ34,tblSteps[重複対象],1,tblSteps[開始分],"&lt;"&amp;(T$7+TTStep),tblSteps[終了分],"&gt;"&amp;T$7)-$AK34&gt;0,"重","■"),""))</f>
        <v/>
      </c>
      <c r="U34" s="93" t="str">
        <f>IF(OR($AF34="",U$7=""),"",IF(AND($AI34=1,$AG34&lt;U$7+TTStep,$AH34&gt;U$7),IF(COUNTIFS(tblSteps[担当],$AJ34,tblSteps[重複対象],1,tblSteps[開始分],"&lt;"&amp;(U$7+TTStep),tblSteps[終了分],"&gt;"&amp;U$7)-$AK34&gt;0,"重","■"),""))</f>
        <v/>
      </c>
      <c r="V34" s="93" t="str">
        <f>IF(OR($AF34="",V$7=""),"",IF(AND($AI34=1,$AG34&lt;V$7+TTStep,$AH34&gt;V$7),IF(COUNTIFS(tblSteps[担当],$AJ34,tblSteps[重複対象],1,tblSteps[開始分],"&lt;"&amp;(V$7+TTStep),tblSteps[終了分],"&gt;"&amp;V$7)-$AK34&gt;0,"重","■"),""))</f>
        <v/>
      </c>
      <c r="W34" s="93" t="str">
        <f>IF(OR($AF34="",W$7=""),"",IF(AND($AI34=1,$AG34&lt;W$7+TTStep,$AH34&gt;W$7),IF(COUNTIFS(tblSteps[担当],$AJ34,tblSteps[重複対象],1,tblSteps[開始分],"&lt;"&amp;(W$7+TTStep),tblSteps[終了分],"&gt;"&amp;W$7)-$AK34&gt;0,"重","■"),""))</f>
        <v/>
      </c>
      <c r="X34" s="93" t="str">
        <f>IF(OR($AF34="",X$7=""),"",IF(AND($AI34=1,$AG34&lt;X$7+TTStep,$AH34&gt;X$7),IF(COUNTIFS(tblSteps[担当],$AJ34,tblSteps[重複対象],1,tblSteps[開始分],"&lt;"&amp;(X$7+TTStep),tblSteps[終了分],"&gt;"&amp;X$7)-$AK34&gt;0,"重","■"),""))</f>
        <v/>
      </c>
      <c r="Y34" s="93" t="str">
        <f>IF(OR($AF34="",Y$7=""),"",IF(AND($AI34=1,$AG34&lt;Y$7+TTStep,$AH34&gt;Y$7),IF(COUNTIFS(tblSteps[担当],$AJ34,tblSteps[重複対象],1,tblSteps[開始分],"&lt;"&amp;(Y$7+TTStep),tblSteps[終了分],"&gt;"&amp;Y$7)-$AK34&gt;0,"重","■"),""))</f>
        <v/>
      </c>
      <c r="Z34" s="93" t="str">
        <f>IF(OR($AF34="",Z$7=""),"",IF(AND($AI34=1,$AG34&lt;Z$7+TTStep,$AH34&gt;Z$7),IF(COUNTIFS(tblSteps[担当],$AJ34,tblSteps[重複対象],1,tblSteps[開始分],"&lt;"&amp;(Z$7+TTStep),tblSteps[終了分],"&gt;"&amp;Z$7)-$AK34&gt;0,"重","■"),""))</f>
        <v/>
      </c>
      <c r="AA34" s="93" t="str">
        <f>IF(OR($AF34="",AA$7=""),"",IF(AND($AI34=1,$AG34&lt;AA$7+TTStep,$AH34&gt;AA$7),IF(COUNTIFS(tblSteps[担当],$AJ34,tblSteps[重複対象],1,tblSteps[開始分],"&lt;"&amp;(AA$7+TTStep),tblSteps[終了分],"&gt;"&amp;AA$7)-$AK34&gt;0,"重","■"),""))</f>
        <v/>
      </c>
      <c r="AB34" s="93" t="str">
        <f>IF(OR($AF34="",AB$7=""),"",IF(AND($AI34=1,$AG34&lt;AB$7+TTStep,$AH34&gt;AB$7),IF(COUNTIFS(tblSteps[担当],$AJ34,tblSteps[重複対象],1,tblSteps[開始分],"&lt;"&amp;(AB$7+TTStep),tblSteps[終了分],"&gt;"&amp;AB$7)-$AK34&gt;0,"重","■"),""))</f>
        <v/>
      </c>
      <c r="AC34" s="93" t="str">
        <f>IF(OR($AF34="",AC$7=""),"",IF(AND($AI34=1,$AG34&lt;AC$7+TTStep,$AH34&gt;AC$7),IF(COUNTIFS(tblSteps[担当],$AJ34,tblSteps[重複対象],1,tblSteps[開始分],"&lt;"&amp;(AC$7+TTStep),tblSteps[終了分],"&gt;"&amp;AC$7)-$AK34&gt;0,"重","■"),""))</f>
        <v/>
      </c>
      <c r="AD34" s="93" t="str">
        <f>IF(OR($AF34="",AD$7=""),"",IF(AND($AI34=1,$AG34&lt;AD$7+TTStep,$AH34&gt;AD$7),IF(COUNTIFS(tblSteps[担当],$AJ34,tblSteps[重複対象],1,tblSteps[開始分],"&lt;"&amp;(AD$7+TTStep),tblSteps[終了分],"&gt;"&amp;AD$7)-$AK34&gt;0,"重","■"),""))</f>
        <v/>
      </c>
      <c r="AF34" t="str">
        <f>IF(27&gt;COUNTIF(tblSteps[時間割対象],1),"",IFERROR(MATCH(27,tblSteps[時間割順位],0),""))</f>
        <v/>
      </c>
      <c r="AG34" t="str">
        <f>IF($AF34="","",INDEX(tblSteps[開始分],$AF34))</f>
        <v/>
      </c>
      <c r="AH34" t="str">
        <f>IF($AF34="","",INDEX(tblSteps[終了分],$AF34))</f>
        <v/>
      </c>
      <c r="AI34" t="str">
        <f>IF($AF34="","",INDEX(tblSteps[時刻OK],$AF34))</f>
        <v/>
      </c>
      <c r="AJ34" t="str">
        <f>IF($AF34="","",INDEX(tblSteps[担当],$AF34))</f>
        <v/>
      </c>
      <c r="AK34" t="str">
        <f>IF($AF34="","",INDEX(tblSteps[重複対象],$AF34))</f>
        <v/>
      </c>
      <c r="AL34" t="str">
        <f>IF($AF34="","",INDEX(tblSteps[案件ID],$AF34))</f>
        <v/>
      </c>
    </row>
    <row r="35" ht="20" customHeight="1">
      <c r="A35" s="89" t="str">
        <f>IF($AF35="","",INDEX(tblSteps[工程ID],$AF35)&amp;"")</f>
        <v/>
      </c>
      <c r="B35" s="88" t="str">
        <f>IF($AF35="","",$AL35&amp;" "&amp;INDEX(tblSteps[案件名],$AF35))</f>
        <v/>
      </c>
      <c r="C35" s="88" t="str">
        <f>IF($AF35="","",INDEX(tblSteps[工程名],$AF35)&amp;"")</f>
        <v/>
      </c>
      <c r="D35" s="89" t="str">
        <f>IF($AF35="","",$AJ35&amp;"")</f>
        <v/>
      </c>
      <c r="E35" s="103" t="str">
        <f>IF($AF35="","",IF($AI35=1,$AG35/1440,INDEX(tblSteps[計画開始日],$AF35)))</f>
        <v/>
      </c>
      <c r="F35" s="103" t="str">
        <f>IF($AF35="","",IF($AI35=1,$AH35/1440,INDEX(tblSteps[計画終了日],$AF35)))</f>
        <v/>
      </c>
      <c r="G35" s="89" t="str">
        <f>IF($AF35="","",INDEX(tblSteps[状態],$AF35)&amp;"")</f>
        <v/>
      </c>
      <c r="H35" s="92" t="str">
        <f>IF($AF35="","",_xlfn.TEXTJOIN("／",TRUE,IF($AI35=0,"終了日時が開始日時以前",""),IF(AND($AI35=1,OR($AH35&lt;=TTDate*1440+ROUND(TTStart*1440,0),$AG35&gt;=TTDate*1440+ROUND(TTEnd*1440,0))),"表示時間外",""),IF(AND($AI35=1,$AG35&lt;TTDate*1440),"前日から継続",""),IF(AND($AI35=1,$AH35&gt;TTDate*1440+1440),"翌日へ継続",""),IF(INDEX(tblSteps[重複数],$AF35)&gt;0,"予定重複の可能性","")))</f>
        <v/>
      </c>
      <c r="I35" s="93" t="str">
        <f>IF(OR($AF35="",I$7=""),"",IF(AND($AI35=1,$AG35&lt;I$7+TTStep,$AH35&gt;I$7),IF(COUNTIFS(tblSteps[担当],$AJ35,tblSteps[重複対象],1,tblSteps[開始分],"&lt;"&amp;(I$7+TTStep),tblSteps[終了分],"&gt;"&amp;I$7)-$AK35&gt;0,"重","■"),""))</f>
        <v/>
      </c>
      <c r="J35" s="93" t="str">
        <f>IF(OR($AF35="",J$7=""),"",IF(AND($AI35=1,$AG35&lt;J$7+TTStep,$AH35&gt;J$7),IF(COUNTIFS(tblSteps[担当],$AJ35,tblSteps[重複対象],1,tblSteps[開始分],"&lt;"&amp;(J$7+TTStep),tblSteps[終了分],"&gt;"&amp;J$7)-$AK35&gt;0,"重","■"),""))</f>
        <v/>
      </c>
      <c r="K35" s="93" t="str">
        <f>IF(OR($AF35="",K$7=""),"",IF(AND($AI35=1,$AG35&lt;K$7+TTStep,$AH35&gt;K$7),IF(COUNTIFS(tblSteps[担当],$AJ35,tblSteps[重複対象],1,tblSteps[開始分],"&lt;"&amp;(K$7+TTStep),tblSteps[終了分],"&gt;"&amp;K$7)-$AK35&gt;0,"重","■"),""))</f>
        <v/>
      </c>
      <c r="L35" s="93" t="str">
        <f>IF(OR($AF35="",L$7=""),"",IF(AND($AI35=1,$AG35&lt;L$7+TTStep,$AH35&gt;L$7),IF(COUNTIFS(tblSteps[担当],$AJ35,tblSteps[重複対象],1,tblSteps[開始分],"&lt;"&amp;(L$7+TTStep),tblSteps[終了分],"&gt;"&amp;L$7)-$AK35&gt;0,"重","■"),""))</f>
        <v/>
      </c>
      <c r="M35" s="93" t="str">
        <f>IF(OR($AF35="",M$7=""),"",IF(AND($AI35=1,$AG35&lt;M$7+TTStep,$AH35&gt;M$7),IF(COUNTIFS(tblSteps[担当],$AJ35,tblSteps[重複対象],1,tblSteps[開始分],"&lt;"&amp;(M$7+TTStep),tblSteps[終了分],"&gt;"&amp;M$7)-$AK35&gt;0,"重","■"),""))</f>
        <v/>
      </c>
      <c r="N35" s="93" t="str">
        <f>IF(OR($AF35="",N$7=""),"",IF(AND($AI35=1,$AG35&lt;N$7+TTStep,$AH35&gt;N$7),IF(COUNTIFS(tblSteps[担当],$AJ35,tblSteps[重複対象],1,tblSteps[開始分],"&lt;"&amp;(N$7+TTStep),tblSteps[終了分],"&gt;"&amp;N$7)-$AK35&gt;0,"重","■"),""))</f>
        <v/>
      </c>
      <c r="O35" s="93" t="str">
        <f>IF(OR($AF35="",O$7=""),"",IF(AND($AI35=1,$AG35&lt;O$7+TTStep,$AH35&gt;O$7),IF(COUNTIFS(tblSteps[担当],$AJ35,tblSteps[重複対象],1,tblSteps[開始分],"&lt;"&amp;(O$7+TTStep),tblSteps[終了分],"&gt;"&amp;O$7)-$AK35&gt;0,"重","■"),""))</f>
        <v/>
      </c>
      <c r="P35" s="93" t="str">
        <f>IF(OR($AF35="",P$7=""),"",IF(AND($AI35=1,$AG35&lt;P$7+TTStep,$AH35&gt;P$7),IF(COUNTIFS(tblSteps[担当],$AJ35,tblSteps[重複対象],1,tblSteps[開始分],"&lt;"&amp;(P$7+TTStep),tblSteps[終了分],"&gt;"&amp;P$7)-$AK35&gt;0,"重","■"),""))</f>
        <v/>
      </c>
      <c r="Q35" s="93" t="str">
        <f>IF(OR($AF35="",Q$7=""),"",IF(AND($AI35=1,$AG35&lt;Q$7+TTStep,$AH35&gt;Q$7),IF(COUNTIFS(tblSteps[担当],$AJ35,tblSteps[重複対象],1,tblSteps[開始分],"&lt;"&amp;(Q$7+TTStep),tblSteps[終了分],"&gt;"&amp;Q$7)-$AK35&gt;0,"重","■"),""))</f>
        <v/>
      </c>
      <c r="R35" s="93" t="str">
        <f>IF(OR($AF35="",R$7=""),"",IF(AND($AI35=1,$AG35&lt;R$7+TTStep,$AH35&gt;R$7),IF(COUNTIFS(tblSteps[担当],$AJ35,tblSteps[重複対象],1,tblSteps[開始分],"&lt;"&amp;(R$7+TTStep),tblSteps[終了分],"&gt;"&amp;R$7)-$AK35&gt;0,"重","■"),""))</f>
        <v/>
      </c>
      <c r="S35" s="93" t="str">
        <f>IF(OR($AF35="",S$7=""),"",IF(AND($AI35=1,$AG35&lt;S$7+TTStep,$AH35&gt;S$7),IF(COUNTIFS(tblSteps[担当],$AJ35,tblSteps[重複対象],1,tblSteps[開始分],"&lt;"&amp;(S$7+TTStep),tblSteps[終了分],"&gt;"&amp;S$7)-$AK35&gt;0,"重","■"),""))</f>
        <v/>
      </c>
      <c r="T35" s="93" t="str">
        <f>IF(OR($AF35="",T$7=""),"",IF(AND($AI35=1,$AG35&lt;T$7+TTStep,$AH35&gt;T$7),IF(COUNTIFS(tblSteps[担当],$AJ35,tblSteps[重複対象],1,tblSteps[開始分],"&lt;"&amp;(T$7+TTStep),tblSteps[終了分],"&gt;"&amp;T$7)-$AK35&gt;0,"重","■"),""))</f>
        <v/>
      </c>
      <c r="U35" s="93" t="str">
        <f>IF(OR($AF35="",U$7=""),"",IF(AND($AI35=1,$AG35&lt;U$7+TTStep,$AH35&gt;U$7),IF(COUNTIFS(tblSteps[担当],$AJ35,tblSteps[重複対象],1,tblSteps[開始分],"&lt;"&amp;(U$7+TTStep),tblSteps[終了分],"&gt;"&amp;U$7)-$AK35&gt;0,"重","■"),""))</f>
        <v/>
      </c>
      <c r="V35" s="93" t="str">
        <f>IF(OR($AF35="",V$7=""),"",IF(AND($AI35=1,$AG35&lt;V$7+TTStep,$AH35&gt;V$7),IF(COUNTIFS(tblSteps[担当],$AJ35,tblSteps[重複対象],1,tblSteps[開始分],"&lt;"&amp;(V$7+TTStep),tblSteps[終了分],"&gt;"&amp;V$7)-$AK35&gt;0,"重","■"),""))</f>
        <v/>
      </c>
      <c r="W35" s="93" t="str">
        <f>IF(OR($AF35="",W$7=""),"",IF(AND($AI35=1,$AG35&lt;W$7+TTStep,$AH35&gt;W$7),IF(COUNTIFS(tblSteps[担当],$AJ35,tblSteps[重複対象],1,tblSteps[開始分],"&lt;"&amp;(W$7+TTStep),tblSteps[終了分],"&gt;"&amp;W$7)-$AK35&gt;0,"重","■"),""))</f>
        <v/>
      </c>
      <c r="X35" s="93" t="str">
        <f>IF(OR($AF35="",X$7=""),"",IF(AND($AI35=1,$AG35&lt;X$7+TTStep,$AH35&gt;X$7),IF(COUNTIFS(tblSteps[担当],$AJ35,tblSteps[重複対象],1,tblSteps[開始分],"&lt;"&amp;(X$7+TTStep),tblSteps[終了分],"&gt;"&amp;X$7)-$AK35&gt;0,"重","■"),""))</f>
        <v/>
      </c>
      <c r="Y35" s="93" t="str">
        <f>IF(OR($AF35="",Y$7=""),"",IF(AND($AI35=1,$AG35&lt;Y$7+TTStep,$AH35&gt;Y$7),IF(COUNTIFS(tblSteps[担当],$AJ35,tblSteps[重複対象],1,tblSteps[開始分],"&lt;"&amp;(Y$7+TTStep),tblSteps[終了分],"&gt;"&amp;Y$7)-$AK35&gt;0,"重","■"),""))</f>
        <v/>
      </c>
      <c r="Z35" s="93" t="str">
        <f>IF(OR($AF35="",Z$7=""),"",IF(AND($AI35=1,$AG35&lt;Z$7+TTStep,$AH35&gt;Z$7),IF(COUNTIFS(tblSteps[担当],$AJ35,tblSteps[重複対象],1,tblSteps[開始分],"&lt;"&amp;(Z$7+TTStep),tblSteps[終了分],"&gt;"&amp;Z$7)-$AK35&gt;0,"重","■"),""))</f>
        <v/>
      </c>
      <c r="AA35" s="93" t="str">
        <f>IF(OR($AF35="",AA$7=""),"",IF(AND($AI35=1,$AG35&lt;AA$7+TTStep,$AH35&gt;AA$7),IF(COUNTIFS(tblSteps[担当],$AJ35,tblSteps[重複対象],1,tblSteps[開始分],"&lt;"&amp;(AA$7+TTStep),tblSteps[終了分],"&gt;"&amp;AA$7)-$AK35&gt;0,"重","■"),""))</f>
        <v/>
      </c>
      <c r="AB35" s="93" t="str">
        <f>IF(OR($AF35="",AB$7=""),"",IF(AND($AI35=1,$AG35&lt;AB$7+TTStep,$AH35&gt;AB$7),IF(COUNTIFS(tblSteps[担当],$AJ35,tblSteps[重複対象],1,tblSteps[開始分],"&lt;"&amp;(AB$7+TTStep),tblSteps[終了分],"&gt;"&amp;AB$7)-$AK35&gt;0,"重","■"),""))</f>
        <v/>
      </c>
      <c r="AC35" s="93" t="str">
        <f>IF(OR($AF35="",AC$7=""),"",IF(AND($AI35=1,$AG35&lt;AC$7+TTStep,$AH35&gt;AC$7),IF(COUNTIFS(tblSteps[担当],$AJ35,tblSteps[重複対象],1,tblSteps[開始分],"&lt;"&amp;(AC$7+TTStep),tblSteps[終了分],"&gt;"&amp;AC$7)-$AK35&gt;0,"重","■"),""))</f>
        <v/>
      </c>
      <c r="AD35" s="93" t="str">
        <f>IF(OR($AF35="",AD$7=""),"",IF(AND($AI35=1,$AG35&lt;AD$7+TTStep,$AH35&gt;AD$7),IF(COUNTIFS(tblSteps[担当],$AJ35,tblSteps[重複対象],1,tblSteps[開始分],"&lt;"&amp;(AD$7+TTStep),tblSteps[終了分],"&gt;"&amp;AD$7)-$AK35&gt;0,"重","■"),""))</f>
        <v/>
      </c>
      <c r="AF35" t="str">
        <f>IF(28&gt;COUNTIF(tblSteps[時間割対象],1),"",IFERROR(MATCH(28,tblSteps[時間割順位],0),""))</f>
        <v/>
      </c>
      <c r="AG35" t="str">
        <f>IF($AF35="","",INDEX(tblSteps[開始分],$AF35))</f>
        <v/>
      </c>
      <c r="AH35" t="str">
        <f>IF($AF35="","",INDEX(tblSteps[終了分],$AF35))</f>
        <v/>
      </c>
      <c r="AI35" t="str">
        <f>IF($AF35="","",INDEX(tblSteps[時刻OK],$AF35))</f>
        <v/>
      </c>
      <c r="AJ35" t="str">
        <f>IF($AF35="","",INDEX(tblSteps[担当],$AF35))</f>
        <v/>
      </c>
      <c r="AK35" t="str">
        <f>IF($AF35="","",INDEX(tblSteps[重複対象],$AF35))</f>
        <v/>
      </c>
      <c r="AL35" t="str">
        <f>IF($AF35="","",INDEX(tblSteps[案件ID],$AF35))</f>
        <v/>
      </c>
    </row>
    <row r="36" ht="20" customHeight="1">
      <c r="A36" s="89" t="str">
        <f>IF($AF36="","",INDEX(tblSteps[工程ID],$AF36)&amp;"")</f>
        <v/>
      </c>
      <c r="B36" s="88" t="str">
        <f>IF($AF36="","",$AL36&amp;" "&amp;INDEX(tblSteps[案件名],$AF36))</f>
        <v/>
      </c>
      <c r="C36" s="88" t="str">
        <f>IF($AF36="","",INDEX(tblSteps[工程名],$AF36)&amp;"")</f>
        <v/>
      </c>
      <c r="D36" s="89" t="str">
        <f>IF($AF36="","",$AJ36&amp;"")</f>
        <v/>
      </c>
      <c r="E36" s="103" t="str">
        <f>IF($AF36="","",IF($AI36=1,$AG36/1440,INDEX(tblSteps[計画開始日],$AF36)))</f>
        <v/>
      </c>
      <c r="F36" s="103" t="str">
        <f>IF($AF36="","",IF($AI36=1,$AH36/1440,INDEX(tblSteps[計画終了日],$AF36)))</f>
        <v/>
      </c>
      <c r="G36" s="89" t="str">
        <f>IF($AF36="","",INDEX(tblSteps[状態],$AF36)&amp;"")</f>
        <v/>
      </c>
      <c r="H36" s="92" t="str">
        <f>IF($AF36="","",_xlfn.TEXTJOIN("／",TRUE,IF($AI36=0,"終了日時が開始日時以前",""),IF(AND($AI36=1,OR($AH36&lt;=TTDate*1440+ROUND(TTStart*1440,0),$AG36&gt;=TTDate*1440+ROUND(TTEnd*1440,0))),"表示時間外",""),IF(AND($AI36=1,$AG36&lt;TTDate*1440),"前日から継続",""),IF(AND($AI36=1,$AH36&gt;TTDate*1440+1440),"翌日へ継続",""),IF(INDEX(tblSteps[重複数],$AF36)&gt;0,"予定重複の可能性","")))</f>
        <v/>
      </c>
      <c r="I36" s="93" t="str">
        <f>IF(OR($AF36="",I$7=""),"",IF(AND($AI36=1,$AG36&lt;I$7+TTStep,$AH36&gt;I$7),IF(COUNTIFS(tblSteps[担当],$AJ36,tblSteps[重複対象],1,tblSteps[開始分],"&lt;"&amp;(I$7+TTStep),tblSteps[終了分],"&gt;"&amp;I$7)-$AK36&gt;0,"重","■"),""))</f>
        <v/>
      </c>
      <c r="J36" s="93" t="str">
        <f>IF(OR($AF36="",J$7=""),"",IF(AND($AI36=1,$AG36&lt;J$7+TTStep,$AH36&gt;J$7),IF(COUNTIFS(tblSteps[担当],$AJ36,tblSteps[重複対象],1,tblSteps[開始分],"&lt;"&amp;(J$7+TTStep),tblSteps[終了分],"&gt;"&amp;J$7)-$AK36&gt;0,"重","■"),""))</f>
        <v/>
      </c>
      <c r="K36" s="93" t="str">
        <f>IF(OR($AF36="",K$7=""),"",IF(AND($AI36=1,$AG36&lt;K$7+TTStep,$AH36&gt;K$7),IF(COUNTIFS(tblSteps[担当],$AJ36,tblSteps[重複対象],1,tblSteps[開始分],"&lt;"&amp;(K$7+TTStep),tblSteps[終了分],"&gt;"&amp;K$7)-$AK36&gt;0,"重","■"),""))</f>
        <v/>
      </c>
      <c r="L36" s="93" t="str">
        <f>IF(OR($AF36="",L$7=""),"",IF(AND($AI36=1,$AG36&lt;L$7+TTStep,$AH36&gt;L$7),IF(COUNTIFS(tblSteps[担当],$AJ36,tblSteps[重複対象],1,tblSteps[開始分],"&lt;"&amp;(L$7+TTStep),tblSteps[終了分],"&gt;"&amp;L$7)-$AK36&gt;0,"重","■"),""))</f>
        <v/>
      </c>
      <c r="M36" s="93" t="str">
        <f>IF(OR($AF36="",M$7=""),"",IF(AND($AI36=1,$AG36&lt;M$7+TTStep,$AH36&gt;M$7),IF(COUNTIFS(tblSteps[担当],$AJ36,tblSteps[重複対象],1,tblSteps[開始分],"&lt;"&amp;(M$7+TTStep),tblSteps[終了分],"&gt;"&amp;M$7)-$AK36&gt;0,"重","■"),""))</f>
        <v/>
      </c>
      <c r="N36" s="93" t="str">
        <f>IF(OR($AF36="",N$7=""),"",IF(AND($AI36=1,$AG36&lt;N$7+TTStep,$AH36&gt;N$7),IF(COUNTIFS(tblSteps[担当],$AJ36,tblSteps[重複対象],1,tblSteps[開始分],"&lt;"&amp;(N$7+TTStep),tblSteps[終了分],"&gt;"&amp;N$7)-$AK36&gt;0,"重","■"),""))</f>
        <v/>
      </c>
      <c r="O36" s="93" t="str">
        <f>IF(OR($AF36="",O$7=""),"",IF(AND($AI36=1,$AG36&lt;O$7+TTStep,$AH36&gt;O$7),IF(COUNTIFS(tblSteps[担当],$AJ36,tblSteps[重複対象],1,tblSteps[開始分],"&lt;"&amp;(O$7+TTStep),tblSteps[終了分],"&gt;"&amp;O$7)-$AK36&gt;0,"重","■"),""))</f>
        <v/>
      </c>
      <c r="P36" s="93" t="str">
        <f>IF(OR($AF36="",P$7=""),"",IF(AND($AI36=1,$AG36&lt;P$7+TTStep,$AH36&gt;P$7),IF(COUNTIFS(tblSteps[担当],$AJ36,tblSteps[重複対象],1,tblSteps[開始分],"&lt;"&amp;(P$7+TTStep),tblSteps[終了分],"&gt;"&amp;P$7)-$AK36&gt;0,"重","■"),""))</f>
        <v/>
      </c>
      <c r="Q36" s="93" t="str">
        <f>IF(OR($AF36="",Q$7=""),"",IF(AND($AI36=1,$AG36&lt;Q$7+TTStep,$AH36&gt;Q$7),IF(COUNTIFS(tblSteps[担当],$AJ36,tblSteps[重複対象],1,tblSteps[開始分],"&lt;"&amp;(Q$7+TTStep),tblSteps[終了分],"&gt;"&amp;Q$7)-$AK36&gt;0,"重","■"),""))</f>
        <v/>
      </c>
      <c r="R36" s="93" t="str">
        <f>IF(OR($AF36="",R$7=""),"",IF(AND($AI36=1,$AG36&lt;R$7+TTStep,$AH36&gt;R$7),IF(COUNTIFS(tblSteps[担当],$AJ36,tblSteps[重複対象],1,tblSteps[開始分],"&lt;"&amp;(R$7+TTStep),tblSteps[終了分],"&gt;"&amp;R$7)-$AK36&gt;0,"重","■"),""))</f>
        <v/>
      </c>
      <c r="S36" s="93" t="str">
        <f>IF(OR($AF36="",S$7=""),"",IF(AND($AI36=1,$AG36&lt;S$7+TTStep,$AH36&gt;S$7),IF(COUNTIFS(tblSteps[担当],$AJ36,tblSteps[重複対象],1,tblSteps[開始分],"&lt;"&amp;(S$7+TTStep),tblSteps[終了分],"&gt;"&amp;S$7)-$AK36&gt;0,"重","■"),""))</f>
        <v/>
      </c>
      <c r="T36" s="93" t="str">
        <f>IF(OR($AF36="",T$7=""),"",IF(AND($AI36=1,$AG36&lt;T$7+TTStep,$AH36&gt;T$7),IF(COUNTIFS(tblSteps[担当],$AJ36,tblSteps[重複対象],1,tblSteps[開始分],"&lt;"&amp;(T$7+TTStep),tblSteps[終了分],"&gt;"&amp;T$7)-$AK36&gt;0,"重","■"),""))</f>
        <v/>
      </c>
      <c r="U36" s="93" t="str">
        <f>IF(OR($AF36="",U$7=""),"",IF(AND($AI36=1,$AG36&lt;U$7+TTStep,$AH36&gt;U$7),IF(COUNTIFS(tblSteps[担当],$AJ36,tblSteps[重複対象],1,tblSteps[開始分],"&lt;"&amp;(U$7+TTStep),tblSteps[終了分],"&gt;"&amp;U$7)-$AK36&gt;0,"重","■"),""))</f>
        <v/>
      </c>
      <c r="V36" s="93" t="str">
        <f>IF(OR($AF36="",V$7=""),"",IF(AND($AI36=1,$AG36&lt;V$7+TTStep,$AH36&gt;V$7),IF(COUNTIFS(tblSteps[担当],$AJ36,tblSteps[重複対象],1,tblSteps[開始分],"&lt;"&amp;(V$7+TTStep),tblSteps[終了分],"&gt;"&amp;V$7)-$AK36&gt;0,"重","■"),""))</f>
        <v/>
      </c>
      <c r="W36" s="93" t="str">
        <f>IF(OR($AF36="",W$7=""),"",IF(AND($AI36=1,$AG36&lt;W$7+TTStep,$AH36&gt;W$7),IF(COUNTIFS(tblSteps[担当],$AJ36,tblSteps[重複対象],1,tblSteps[開始分],"&lt;"&amp;(W$7+TTStep),tblSteps[終了分],"&gt;"&amp;W$7)-$AK36&gt;0,"重","■"),""))</f>
        <v/>
      </c>
      <c r="X36" s="93" t="str">
        <f>IF(OR($AF36="",X$7=""),"",IF(AND($AI36=1,$AG36&lt;X$7+TTStep,$AH36&gt;X$7),IF(COUNTIFS(tblSteps[担当],$AJ36,tblSteps[重複対象],1,tblSteps[開始分],"&lt;"&amp;(X$7+TTStep),tblSteps[終了分],"&gt;"&amp;X$7)-$AK36&gt;0,"重","■"),""))</f>
        <v/>
      </c>
      <c r="Y36" s="93" t="str">
        <f>IF(OR($AF36="",Y$7=""),"",IF(AND($AI36=1,$AG36&lt;Y$7+TTStep,$AH36&gt;Y$7),IF(COUNTIFS(tblSteps[担当],$AJ36,tblSteps[重複対象],1,tblSteps[開始分],"&lt;"&amp;(Y$7+TTStep),tblSteps[終了分],"&gt;"&amp;Y$7)-$AK36&gt;0,"重","■"),""))</f>
        <v/>
      </c>
      <c r="Z36" s="93" t="str">
        <f>IF(OR($AF36="",Z$7=""),"",IF(AND($AI36=1,$AG36&lt;Z$7+TTStep,$AH36&gt;Z$7),IF(COUNTIFS(tblSteps[担当],$AJ36,tblSteps[重複対象],1,tblSteps[開始分],"&lt;"&amp;(Z$7+TTStep),tblSteps[終了分],"&gt;"&amp;Z$7)-$AK36&gt;0,"重","■"),""))</f>
        <v/>
      </c>
      <c r="AA36" s="93" t="str">
        <f>IF(OR($AF36="",AA$7=""),"",IF(AND($AI36=1,$AG36&lt;AA$7+TTStep,$AH36&gt;AA$7),IF(COUNTIFS(tblSteps[担当],$AJ36,tblSteps[重複対象],1,tblSteps[開始分],"&lt;"&amp;(AA$7+TTStep),tblSteps[終了分],"&gt;"&amp;AA$7)-$AK36&gt;0,"重","■"),""))</f>
        <v/>
      </c>
      <c r="AB36" s="93" t="str">
        <f>IF(OR($AF36="",AB$7=""),"",IF(AND($AI36=1,$AG36&lt;AB$7+TTStep,$AH36&gt;AB$7),IF(COUNTIFS(tblSteps[担当],$AJ36,tblSteps[重複対象],1,tblSteps[開始分],"&lt;"&amp;(AB$7+TTStep),tblSteps[終了分],"&gt;"&amp;AB$7)-$AK36&gt;0,"重","■"),""))</f>
        <v/>
      </c>
      <c r="AC36" s="93" t="str">
        <f>IF(OR($AF36="",AC$7=""),"",IF(AND($AI36=1,$AG36&lt;AC$7+TTStep,$AH36&gt;AC$7),IF(COUNTIFS(tblSteps[担当],$AJ36,tblSteps[重複対象],1,tblSteps[開始分],"&lt;"&amp;(AC$7+TTStep),tblSteps[終了分],"&gt;"&amp;AC$7)-$AK36&gt;0,"重","■"),""))</f>
        <v/>
      </c>
      <c r="AD36" s="93" t="str">
        <f>IF(OR($AF36="",AD$7=""),"",IF(AND($AI36=1,$AG36&lt;AD$7+TTStep,$AH36&gt;AD$7),IF(COUNTIFS(tblSteps[担当],$AJ36,tblSteps[重複対象],1,tblSteps[開始分],"&lt;"&amp;(AD$7+TTStep),tblSteps[終了分],"&gt;"&amp;AD$7)-$AK36&gt;0,"重","■"),""))</f>
        <v/>
      </c>
      <c r="AF36" t="str">
        <f>IF(29&gt;COUNTIF(tblSteps[時間割対象],1),"",IFERROR(MATCH(29,tblSteps[時間割順位],0),""))</f>
        <v/>
      </c>
      <c r="AG36" t="str">
        <f>IF($AF36="","",INDEX(tblSteps[開始分],$AF36))</f>
        <v/>
      </c>
      <c r="AH36" t="str">
        <f>IF($AF36="","",INDEX(tblSteps[終了分],$AF36))</f>
        <v/>
      </c>
      <c r="AI36" t="str">
        <f>IF($AF36="","",INDEX(tblSteps[時刻OK],$AF36))</f>
        <v/>
      </c>
      <c r="AJ36" t="str">
        <f>IF($AF36="","",INDEX(tblSteps[担当],$AF36))</f>
        <v/>
      </c>
      <c r="AK36" t="str">
        <f>IF($AF36="","",INDEX(tblSteps[重複対象],$AF36))</f>
        <v/>
      </c>
      <c r="AL36" t="str">
        <f>IF($AF36="","",INDEX(tblSteps[案件ID],$AF36))</f>
        <v/>
      </c>
    </row>
    <row r="37" ht="20" customHeight="1">
      <c r="A37" s="89" t="str">
        <f>IF($AF37="","",INDEX(tblSteps[工程ID],$AF37)&amp;"")</f>
        <v/>
      </c>
      <c r="B37" s="88" t="str">
        <f>IF($AF37="","",$AL37&amp;" "&amp;INDEX(tblSteps[案件名],$AF37))</f>
        <v/>
      </c>
      <c r="C37" s="88" t="str">
        <f>IF($AF37="","",INDEX(tblSteps[工程名],$AF37)&amp;"")</f>
        <v/>
      </c>
      <c r="D37" s="89" t="str">
        <f>IF($AF37="","",$AJ37&amp;"")</f>
        <v/>
      </c>
      <c r="E37" s="103" t="str">
        <f>IF($AF37="","",IF($AI37=1,$AG37/1440,INDEX(tblSteps[計画開始日],$AF37)))</f>
        <v/>
      </c>
      <c r="F37" s="103" t="str">
        <f>IF($AF37="","",IF($AI37=1,$AH37/1440,INDEX(tblSteps[計画終了日],$AF37)))</f>
        <v/>
      </c>
      <c r="G37" s="89" t="str">
        <f>IF($AF37="","",INDEX(tblSteps[状態],$AF37)&amp;"")</f>
        <v/>
      </c>
      <c r="H37" s="92" t="str">
        <f>IF($AF37="","",_xlfn.TEXTJOIN("／",TRUE,IF($AI37=0,"終了日時が開始日時以前",""),IF(AND($AI37=1,OR($AH37&lt;=TTDate*1440+ROUND(TTStart*1440,0),$AG37&gt;=TTDate*1440+ROUND(TTEnd*1440,0))),"表示時間外",""),IF(AND($AI37=1,$AG37&lt;TTDate*1440),"前日から継続",""),IF(AND($AI37=1,$AH37&gt;TTDate*1440+1440),"翌日へ継続",""),IF(INDEX(tblSteps[重複数],$AF37)&gt;0,"予定重複の可能性","")))</f>
        <v/>
      </c>
      <c r="I37" s="93" t="str">
        <f>IF(OR($AF37="",I$7=""),"",IF(AND($AI37=1,$AG37&lt;I$7+TTStep,$AH37&gt;I$7),IF(COUNTIFS(tblSteps[担当],$AJ37,tblSteps[重複対象],1,tblSteps[開始分],"&lt;"&amp;(I$7+TTStep),tblSteps[終了分],"&gt;"&amp;I$7)-$AK37&gt;0,"重","■"),""))</f>
        <v/>
      </c>
      <c r="J37" s="93" t="str">
        <f>IF(OR($AF37="",J$7=""),"",IF(AND($AI37=1,$AG37&lt;J$7+TTStep,$AH37&gt;J$7),IF(COUNTIFS(tblSteps[担当],$AJ37,tblSteps[重複対象],1,tblSteps[開始分],"&lt;"&amp;(J$7+TTStep),tblSteps[終了分],"&gt;"&amp;J$7)-$AK37&gt;0,"重","■"),""))</f>
        <v/>
      </c>
      <c r="K37" s="93" t="str">
        <f>IF(OR($AF37="",K$7=""),"",IF(AND($AI37=1,$AG37&lt;K$7+TTStep,$AH37&gt;K$7),IF(COUNTIFS(tblSteps[担当],$AJ37,tblSteps[重複対象],1,tblSteps[開始分],"&lt;"&amp;(K$7+TTStep),tblSteps[終了分],"&gt;"&amp;K$7)-$AK37&gt;0,"重","■"),""))</f>
        <v/>
      </c>
      <c r="L37" s="93" t="str">
        <f>IF(OR($AF37="",L$7=""),"",IF(AND($AI37=1,$AG37&lt;L$7+TTStep,$AH37&gt;L$7),IF(COUNTIFS(tblSteps[担当],$AJ37,tblSteps[重複対象],1,tblSteps[開始分],"&lt;"&amp;(L$7+TTStep),tblSteps[終了分],"&gt;"&amp;L$7)-$AK37&gt;0,"重","■"),""))</f>
        <v/>
      </c>
      <c r="M37" s="93" t="str">
        <f>IF(OR($AF37="",M$7=""),"",IF(AND($AI37=1,$AG37&lt;M$7+TTStep,$AH37&gt;M$7),IF(COUNTIFS(tblSteps[担当],$AJ37,tblSteps[重複対象],1,tblSteps[開始分],"&lt;"&amp;(M$7+TTStep),tblSteps[終了分],"&gt;"&amp;M$7)-$AK37&gt;0,"重","■"),""))</f>
        <v/>
      </c>
      <c r="N37" s="93" t="str">
        <f>IF(OR($AF37="",N$7=""),"",IF(AND($AI37=1,$AG37&lt;N$7+TTStep,$AH37&gt;N$7),IF(COUNTIFS(tblSteps[担当],$AJ37,tblSteps[重複対象],1,tblSteps[開始分],"&lt;"&amp;(N$7+TTStep),tblSteps[終了分],"&gt;"&amp;N$7)-$AK37&gt;0,"重","■"),""))</f>
        <v/>
      </c>
      <c r="O37" s="93" t="str">
        <f>IF(OR($AF37="",O$7=""),"",IF(AND($AI37=1,$AG37&lt;O$7+TTStep,$AH37&gt;O$7),IF(COUNTIFS(tblSteps[担当],$AJ37,tblSteps[重複対象],1,tblSteps[開始分],"&lt;"&amp;(O$7+TTStep),tblSteps[終了分],"&gt;"&amp;O$7)-$AK37&gt;0,"重","■"),""))</f>
        <v/>
      </c>
      <c r="P37" s="93" t="str">
        <f>IF(OR($AF37="",P$7=""),"",IF(AND($AI37=1,$AG37&lt;P$7+TTStep,$AH37&gt;P$7),IF(COUNTIFS(tblSteps[担当],$AJ37,tblSteps[重複対象],1,tblSteps[開始分],"&lt;"&amp;(P$7+TTStep),tblSteps[終了分],"&gt;"&amp;P$7)-$AK37&gt;0,"重","■"),""))</f>
        <v/>
      </c>
      <c r="Q37" s="93" t="str">
        <f>IF(OR($AF37="",Q$7=""),"",IF(AND($AI37=1,$AG37&lt;Q$7+TTStep,$AH37&gt;Q$7),IF(COUNTIFS(tblSteps[担当],$AJ37,tblSteps[重複対象],1,tblSteps[開始分],"&lt;"&amp;(Q$7+TTStep),tblSteps[終了分],"&gt;"&amp;Q$7)-$AK37&gt;0,"重","■"),""))</f>
        <v/>
      </c>
      <c r="R37" s="93" t="str">
        <f>IF(OR($AF37="",R$7=""),"",IF(AND($AI37=1,$AG37&lt;R$7+TTStep,$AH37&gt;R$7),IF(COUNTIFS(tblSteps[担当],$AJ37,tblSteps[重複対象],1,tblSteps[開始分],"&lt;"&amp;(R$7+TTStep),tblSteps[終了分],"&gt;"&amp;R$7)-$AK37&gt;0,"重","■"),""))</f>
        <v/>
      </c>
      <c r="S37" s="93" t="str">
        <f>IF(OR($AF37="",S$7=""),"",IF(AND($AI37=1,$AG37&lt;S$7+TTStep,$AH37&gt;S$7),IF(COUNTIFS(tblSteps[担当],$AJ37,tblSteps[重複対象],1,tblSteps[開始分],"&lt;"&amp;(S$7+TTStep),tblSteps[終了分],"&gt;"&amp;S$7)-$AK37&gt;0,"重","■"),""))</f>
        <v/>
      </c>
      <c r="T37" s="93" t="str">
        <f>IF(OR($AF37="",T$7=""),"",IF(AND($AI37=1,$AG37&lt;T$7+TTStep,$AH37&gt;T$7),IF(COUNTIFS(tblSteps[担当],$AJ37,tblSteps[重複対象],1,tblSteps[開始分],"&lt;"&amp;(T$7+TTStep),tblSteps[終了分],"&gt;"&amp;T$7)-$AK37&gt;0,"重","■"),""))</f>
        <v/>
      </c>
      <c r="U37" s="93" t="str">
        <f>IF(OR($AF37="",U$7=""),"",IF(AND($AI37=1,$AG37&lt;U$7+TTStep,$AH37&gt;U$7),IF(COUNTIFS(tblSteps[担当],$AJ37,tblSteps[重複対象],1,tblSteps[開始分],"&lt;"&amp;(U$7+TTStep),tblSteps[終了分],"&gt;"&amp;U$7)-$AK37&gt;0,"重","■"),""))</f>
        <v/>
      </c>
      <c r="V37" s="93" t="str">
        <f>IF(OR($AF37="",V$7=""),"",IF(AND($AI37=1,$AG37&lt;V$7+TTStep,$AH37&gt;V$7),IF(COUNTIFS(tblSteps[担当],$AJ37,tblSteps[重複対象],1,tblSteps[開始分],"&lt;"&amp;(V$7+TTStep),tblSteps[終了分],"&gt;"&amp;V$7)-$AK37&gt;0,"重","■"),""))</f>
        <v/>
      </c>
      <c r="W37" s="93" t="str">
        <f>IF(OR($AF37="",W$7=""),"",IF(AND($AI37=1,$AG37&lt;W$7+TTStep,$AH37&gt;W$7),IF(COUNTIFS(tblSteps[担当],$AJ37,tblSteps[重複対象],1,tblSteps[開始分],"&lt;"&amp;(W$7+TTStep),tblSteps[終了分],"&gt;"&amp;W$7)-$AK37&gt;0,"重","■"),""))</f>
        <v/>
      </c>
      <c r="X37" s="93" t="str">
        <f>IF(OR($AF37="",X$7=""),"",IF(AND($AI37=1,$AG37&lt;X$7+TTStep,$AH37&gt;X$7),IF(COUNTIFS(tblSteps[担当],$AJ37,tblSteps[重複対象],1,tblSteps[開始分],"&lt;"&amp;(X$7+TTStep),tblSteps[終了分],"&gt;"&amp;X$7)-$AK37&gt;0,"重","■"),""))</f>
        <v/>
      </c>
      <c r="Y37" s="93" t="str">
        <f>IF(OR($AF37="",Y$7=""),"",IF(AND($AI37=1,$AG37&lt;Y$7+TTStep,$AH37&gt;Y$7),IF(COUNTIFS(tblSteps[担当],$AJ37,tblSteps[重複対象],1,tblSteps[開始分],"&lt;"&amp;(Y$7+TTStep),tblSteps[終了分],"&gt;"&amp;Y$7)-$AK37&gt;0,"重","■"),""))</f>
        <v/>
      </c>
      <c r="Z37" s="93" t="str">
        <f>IF(OR($AF37="",Z$7=""),"",IF(AND($AI37=1,$AG37&lt;Z$7+TTStep,$AH37&gt;Z$7),IF(COUNTIFS(tblSteps[担当],$AJ37,tblSteps[重複対象],1,tblSteps[開始分],"&lt;"&amp;(Z$7+TTStep),tblSteps[終了分],"&gt;"&amp;Z$7)-$AK37&gt;0,"重","■"),""))</f>
        <v/>
      </c>
      <c r="AA37" s="93" t="str">
        <f>IF(OR($AF37="",AA$7=""),"",IF(AND($AI37=1,$AG37&lt;AA$7+TTStep,$AH37&gt;AA$7),IF(COUNTIFS(tblSteps[担当],$AJ37,tblSteps[重複対象],1,tblSteps[開始分],"&lt;"&amp;(AA$7+TTStep),tblSteps[終了分],"&gt;"&amp;AA$7)-$AK37&gt;0,"重","■"),""))</f>
        <v/>
      </c>
      <c r="AB37" s="93" t="str">
        <f>IF(OR($AF37="",AB$7=""),"",IF(AND($AI37=1,$AG37&lt;AB$7+TTStep,$AH37&gt;AB$7),IF(COUNTIFS(tblSteps[担当],$AJ37,tblSteps[重複対象],1,tblSteps[開始分],"&lt;"&amp;(AB$7+TTStep),tblSteps[終了分],"&gt;"&amp;AB$7)-$AK37&gt;0,"重","■"),""))</f>
        <v/>
      </c>
      <c r="AC37" s="93" t="str">
        <f>IF(OR($AF37="",AC$7=""),"",IF(AND($AI37=1,$AG37&lt;AC$7+TTStep,$AH37&gt;AC$7),IF(COUNTIFS(tblSteps[担当],$AJ37,tblSteps[重複対象],1,tblSteps[開始分],"&lt;"&amp;(AC$7+TTStep),tblSteps[終了分],"&gt;"&amp;AC$7)-$AK37&gt;0,"重","■"),""))</f>
        <v/>
      </c>
      <c r="AD37" s="93" t="str">
        <f>IF(OR($AF37="",AD$7=""),"",IF(AND($AI37=1,$AG37&lt;AD$7+TTStep,$AH37&gt;AD$7),IF(COUNTIFS(tblSteps[担当],$AJ37,tblSteps[重複対象],1,tblSteps[開始分],"&lt;"&amp;(AD$7+TTStep),tblSteps[終了分],"&gt;"&amp;AD$7)-$AK37&gt;0,"重","■"),""))</f>
        <v/>
      </c>
      <c r="AF37" t="str">
        <f>IF(30&gt;COUNTIF(tblSteps[時間割対象],1),"",IFERROR(MATCH(30,tblSteps[時間割順位],0),""))</f>
        <v/>
      </c>
      <c r="AG37" t="str">
        <f>IF($AF37="","",INDEX(tblSteps[開始分],$AF37))</f>
        <v/>
      </c>
      <c r="AH37" t="str">
        <f>IF($AF37="","",INDEX(tblSteps[終了分],$AF37))</f>
        <v/>
      </c>
      <c r="AI37" t="str">
        <f>IF($AF37="","",INDEX(tblSteps[時刻OK],$AF37))</f>
        <v/>
      </c>
      <c r="AJ37" t="str">
        <f>IF($AF37="","",INDEX(tblSteps[担当],$AF37))</f>
        <v/>
      </c>
      <c r="AK37" t="str">
        <f>IF($AF37="","",INDEX(tblSteps[重複対象],$AF37))</f>
        <v/>
      </c>
      <c r="AL37" t="str">
        <f>IF($AF37="","",INDEX(tblSteps[案件ID],$AF37))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7">
    <mergeCell ref="A4:H4"/>
    <mergeCell ref="D5:D7"/>
    <mergeCell ref="H5:H7"/>
    <mergeCell ref="G1:H1"/>
    <mergeCell ref="O4:Q4"/>
    <mergeCell ref="I1:K1"/>
    <mergeCell ref="I5:AD5"/>
    <mergeCell ref="I3:R3"/>
    <mergeCell ref="C5:C7"/>
    <mergeCell ref="A5:A7"/>
    <mergeCell ref="G5:G7"/>
    <mergeCell ref="I4:K4"/>
    <mergeCell ref="E5:E7"/>
    <mergeCell ref="L4:N4"/>
    <mergeCell ref="F5:F7"/>
    <mergeCell ref="G3:H3"/>
    <mergeCell ref="B5:B7"/>
  </mergeCells>
  <conditionalFormatting sqref="I8:AD37">
    <cfRule type="expression" priority="1" dxfId="15" stopIfTrue="1">
      <formula>I8="重"</formula>
    </cfRule>
    <cfRule type="expression" priority="2" dxfId="8" stopIfTrue="1">
      <formula>I8="■"</formula>
    </cfRule>
  </conditionalFormatting>
  <conditionalFormatting sqref="I6:AD37">
    <cfRule type="expression" priority="3" dxfId="13" stopIfTrue="1">
      <formula>I$6=""</formula>
    </cfRule>
  </conditionalFormatting>
  <conditionalFormatting sqref="H8:H37">
    <cfRule type="expression" priority="4" dxfId="2" stopIfTrue="1">
      <formula>H8&lt;&gt;""</formula>
    </cfRule>
  </conditionalFormatting>
  <dataValidations count="2">
    <dataValidation sqref="C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員／担当者で絞り込みます。" type="list" errorStyle="stop">
      <formula1>=dv_StaffAll</formula1>
    </dataValidation>
    <dataValidation sqref="E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案件／案件IDで絞り込みます。" type="list" errorStyle="stop">
      <formula1>=dv_ProjAll</formula1>
    </dataValidation>
  </dataValidations>
  <hyperlinks>
    <hyperlink ref="I1" location="'01_全体ホーム'!A1" display="← ホームへ"/>
    <hyperlink ref="I3" location="'07_設定'!C11" display="▶ 表示日・時間粒度を変更（07_設定）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Q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46" customWidth="1" min="4" max="4"/>
    <col width="2" customWidth="1" min="5" max="5"/>
    <col width="13" customWidth="1" min="6" max="6"/>
    <col width="2" customWidth="1" min="7" max="7"/>
    <col width="12" customWidth="1" min="8" max="8"/>
    <col width="24" customWidth="1" min="9" max="9"/>
    <col width="2" customWidth="1" min="10" max="10"/>
    <col width="11" customWidth="1" min="11" max="11"/>
    <col width="2" customWidth="1" min="12" max="12"/>
    <col width="11" customWidth="1" min="13" max="13"/>
    <col width="2" customWidth="1" min="14" max="14"/>
    <col width="13" customWidth="1" min="15" max="15"/>
    <col width="2" customWidth="1" min="16" max="16"/>
    <col width="13" customWidth="1" min="17" max="17"/>
  </cols>
  <sheetData>
    <row r="1" ht="30" customHeight="1">
      <c r="A1" s="1" t="inlineStr">
        <is>
          <t>設定：基準日・表示・既定時刻・休日・担当者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サンプル（架空データ）</t>
        </is>
      </c>
      <c r="Q1" s="35" t="inlineStr">
        <is>
          <t>← ホームへ</t>
        </is>
      </c>
    </row>
    <row r="2" ht="20" customHeight="1">
      <c r="A2" s="4" t="inlineStr">
        <is>
          <t>白い入力欄だけを変更します。候補一覧は上から詰めて入力してください。</t>
        </is>
      </c>
    </row>
    <row r="4" ht="34" customHeight="1">
      <c r="B4" s="104" t="inlineStr">
        <is>
          <t>基本設定</t>
        </is>
      </c>
      <c r="F4" s="83" t="inlineStr">
        <is>
          <t>担当者</t>
        </is>
      </c>
      <c r="H4" s="83" t="inlineStr">
        <is>
          <t>休日（日付）</t>
        </is>
      </c>
      <c r="I4" s="83" t="inlineStr">
        <is>
          <t>休日の名称（任意）</t>
        </is>
      </c>
      <c r="K4" s="83" t="inlineStr">
        <is>
          <t>工程の状態（固定）</t>
        </is>
      </c>
      <c r="M4" s="83" t="inlineStr">
        <is>
          <t>案件の状態（固定）</t>
        </is>
      </c>
      <c r="O4" s="105" t="inlineStr">
        <is>
          <t>担当の絞り込み候補（自動）</t>
        </is>
      </c>
      <c r="Q4" s="105" t="inlineStr">
        <is>
          <t>案件の絞り込み候補（自動）</t>
        </is>
      </c>
    </row>
    <row r="5" ht="30" customHeight="1">
      <c r="B5" s="106" t="inlineStr">
        <is>
          <t>確認基準日（空欄＝今日）</t>
        </is>
      </c>
      <c r="C5" s="107" t="n">
        <v>46300</v>
      </c>
      <c r="D5" s="108" t="inlineStr">
        <is>
          <t>【デモ用基準日】サンプルの説明に合わせて 2026/10/05 に固定。実運用では空欄にします。</t>
        </is>
      </c>
      <c r="F5" s="109" t="inlineStr">
        <is>
          <t>田中</t>
        </is>
      </c>
      <c r="H5" s="110" t="n">
        <v>46311</v>
      </c>
      <c r="I5" s="109" t="inlineStr">
        <is>
          <t>創立記念日（架空の会社休業日）</t>
        </is>
      </c>
      <c r="K5" s="109" t="inlineStr">
        <is>
          <t>未着手</t>
        </is>
      </c>
      <c r="M5" s="109" t="inlineStr">
        <is>
          <t>計画中</t>
        </is>
      </c>
      <c r="O5" s="111" t="inlineStr">
        <is>
          <t>全員</t>
        </is>
      </c>
      <c r="Q5" s="111" t="inlineStr">
        <is>
          <t>全案件</t>
        </is>
      </c>
    </row>
    <row r="6" ht="30" customHeight="1">
      <c r="B6" s="106" t="inlineStr">
        <is>
          <t>使用中の基準日</t>
        </is>
      </c>
      <c r="C6" s="112">
        <f>IF(C5="",TODAY(),C5)</f>
        <v>46300.0</v>
      </c>
      <c r="D6" s="108" t="inlineStr">
        <is>
          <t>期限超過・納期判定・今日の列はこの日付で判定します。</t>
        </is>
      </c>
      <c r="F6" s="109" t="inlineStr">
        <is>
          <t>高橋</t>
        </is>
      </c>
      <c r="H6" s="110" t="n"/>
      <c r="I6" s="109" t="n"/>
      <c r="K6" s="109" t="inlineStr">
        <is>
          <t>進行中</t>
        </is>
      </c>
      <c r="M6" s="109" t="inlineStr">
        <is>
          <t>進行中</t>
        </is>
      </c>
      <c r="O6" s="111" t="str">
        <f>IF(F5="","",F5)</f>
        <v>田中</v>
      </c>
      <c r="Q6" s="111" t="str">
        <f>IFERROR(INDEX(tblProjects[案件ID],1)&amp;"","")</f>
        <v>A0008</v>
      </c>
    </row>
    <row r="7" ht="30" customHeight="1">
      <c r="B7" s="106" t="inlineStr">
        <is>
          <t>日別ガントの表示開始日（空欄＝自動）</t>
        </is>
      </c>
      <c r="C7" s="107" t="n"/>
      <c r="D7" s="108" t="inlineStr">
        <is>
          <t>空欄なら「基準日の前の週の月曜」から42日間を表示します。</t>
        </is>
      </c>
      <c r="F7" s="109" t="inlineStr">
        <is>
          <t>伊藤</t>
        </is>
      </c>
      <c r="H7" s="110" t="n"/>
      <c r="I7" s="109" t="n"/>
      <c r="K7" s="109" t="inlineStr">
        <is>
          <t>完了</t>
        </is>
      </c>
      <c r="M7" s="109" t="inlineStr">
        <is>
          <t>完了</t>
        </is>
      </c>
      <c r="O7" s="111" t="str">
        <f>IF(F6="","",F6)</f>
        <v>高橋</v>
      </c>
      <c r="Q7" s="111" t="str">
        <f>IFERROR(INDEX(tblProjects[案件ID],2)&amp;"","")</f>
        <v>A0020</v>
      </c>
    </row>
    <row r="8" ht="30" customHeight="1">
      <c r="B8" s="106" t="inlineStr">
        <is>
          <t>使用中の表示開始日（日別）</t>
        </is>
      </c>
      <c r="C8" s="113">
        <f>IF(C7="",C6-WEEKDAY(C6,3)-7,INT(C7))</f>
        <v>46293.0</v>
      </c>
      <c r="F8" s="109" t="inlineStr">
        <is>
          <t>渡辺</t>
        </is>
      </c>
      <c r="H8" s="110" t="n"/>
      <c r="I8" s="109" t="n"/>
      <c r="K8" s="109" t="inlineStr">
        <is>
          <t>保留</t>
        </is>
      </c>
      <c r="M8" s="109" t="inlineStr">
        <is>
          <t>保留</t>
        </is>
      </c>
      <c r="O8" s="111" t="str">
        <f>IF(F7="","",F7)</f>
        <v>伊藤</v>
      </c>
      <c r="Q8" s="111" t="str">
        <f>IFERROR(INDEX(tblProjects[案件ID],3)&amp;"","")</f>
        <v>A0021</v>
      </c>
    </row>
    <row r="9" ht="30" customHeight="1">
      <c r="B9" s="106" t="inlineStr">
        <is>
          <t>週別ガントの表示開始週（空欄＝自動）</t>
        </is>
      </c>
      <c r="C9" s="107" t="n"/>
      <c r="D9" s="108" t="inlineStr">
        <is>
          <t>空欄なら基準日の2週前の月曜から13週。日付を入れるとその週の月曜から表示します。</t>
        </is>
      </c>
      <c r="F9" s="109" t="inlineStr">
        <is>
          <t>協力会社A</t>
        </is>
      </c>
      <c r="H9" s="110" t="n"/>
      <c r="I9" s="109" t="n"/>
      <c r="K9" s="109" t="inlineStr">
        <is>
          <t>取消</t>
        </is>
      </c>
      <c r="M9" s="109" t="inlineStr">
        <is>
          <t>取消</t>
        </is>
      </c>
      <c r="O9" s="111" t="str">
        <f>IF(F8="","",F8)</f>
        <v>渡辺</v>
      </c>
      <c r="Q9" s="111" t="str">
        <f>IFERROR(INDEX(tblProjects[案件ID],4)&amp;"","")</f>
        <v>A0022</v>
      </c>
    </row>
    <row r="10" ht="30" customHeight="1">
      <c r="B10" s="106" t="inlineStr">
        <is>
          <t>使用中の開始週（月曜）</t>
        </is>
      </c>
      <c r="C10" s="113">
        <f>IF(C9="",C6-WEEKDAY(C6,3)-14,INT(C9)-WEEKDAY(C9,3))</f>
        <v>46286.0</v>
      </c>
      <c r="F10" s="109" t="inlineStr">
        <is>
          <t>協力会社B</t>
        </is>
      </c>
      <c r="H10" s="110" t="n"/>
      <c r="I10" s="109" t="n"/>
      <c r="K10" s="109" t="n"/>
      <c r="M10" s="109" t="n"/>
      <c r="O10" s="111" t="str">
        <f>IF(F9="","",F9)</f>
        <v>協力会社A</v>
      </c>
      <c r="Q10" s="111" t="str">
        <f>IFERROR(INDEX(tblProjects[案件ID],5)&amp;"","")</f>
        <v>A0023</v>
      </c>
    </row>
    <row r="11" ht="30" customHeight="1">
      <c r="B11" s="106" t="inlineStr">
        <is>
          <t>時間割の表示日（空欄＝基準日）</t>
        </is>
      </c>
      <c r="C11" s="107" t="n"/>
      <c r="D11" s="108" t="inlineStr">
        <is>
          <t>06_当日時間割に表示する日。</t>
        </is>
      </c>
      <c r="F11" s="109" t="inlineStr">
        <is>
          <t>協力会社C</t>
        </is>
      </c>
      <c r="H11" s="110" t="n"/>
      <c r="I11" s="109" t="n"/>
      <c r="K11" s="109" t="n"/>
      <c r="M11" s="109" t="n"/>
      <c r="O11" s="111" t="str">
        <f>IF(F10="","",F10)</f>
        <v>協力会社B</v>
      </c>
      <c r="Q11" s="111" t="str">
        <f>IFERROR(INDEX(tblProjects[案件ID],6)&amp;"","")</f>
        <v/>
      </c>
    </row>
    <row r="12" ht="30" customHeight="1">
      <c r="B12" s="106" t="inlineStr">
        <is>
          <t>使用中の表示日（時間割）</t>
        </is>
      </c>
      <c r="C12" s="113">
        <f>IF(C11="",C6,INT(C11))</f>
        <v>46300.0</v>
      </c>
      <c r="F12" s="109" t="n"/>
      <c r="H12" s="110" t="n"/>
      <c r="I12" s="109" t="n"/>
      <c r="K12" s="109" t="n"/>
      <c r="M12" s="109" t="n"/>
      <c r="O12" s="111" t="str">
        <f>IF(F11="","",F11)</f>
        <v>協力会社C</v>
      </c>
      <c r="Q12" s="111" t="str">
        <f>IFERROR(INDEX(tblProjects[案件ID],7)&amp;"","")</f>
        <v/>
      </c>
    </row>
    <row r="13" ht="30" customHeight="1">
      <c r="B13" s="106" t="inlineStr">
        <is>
          <t>時間割の時間粒度（分）</t>
        </is>
      </c>
      <c r="C13" s="114" t="n">
        <v>30</v>
      </c>
      <c r="D13" s="108" t="inlineStr">
        <is>
          <t>30 または 60。60 のときは右側の枠が空きます。</t>
        </is>
      </c>
      <c r="F13" s="109" t="n"/>
      <c r="H13" s="110" t="n"/>
      <c r="I13" s="109" t="n"/>
      <c r="K13" s="109" t="n"/>
      <c r="M13" s="109" t="n"/>
      <c r="O13" s="111" t="str">
        <f>IF(F12="","",F12)</f>
        <v/>
      </c>
      <c r="Q13" s="111" t="str">
        <f>IFERROR(INDEX(tblProjects[案件ID],8)&amp;"","")</f>
        <v/>
      </c>
    </row>
    <row r="14" ht="30" customHeight="1">
      <c r="B14" s="106" t="inlineStr">
        <is>
          <t>時間割の表示開始時刻</t>
        </is>
      </c>
      <c r="C14" s="115" t="n">
        <v>0.3333333333333333</v>
      </c>
      <c r="D14" s="108" t="inlineStr">
        <is>
          <t>初期値 8:00</t>
        </is>
      </c>
      <c r="F14" s="109" t="n"/>
      <c r="H14" s="110" t="n"/>
      <c r="I14" s="109" t="n"/>
      <c r="K14" s="109" t="n"/>
      <c r="M14" s="109" t="n"/>
      <c r="O14" s="111" t="str">
        <f>IF(F13="","",F13)</f>
        <v/>
      </c>
      <c r="Q14" s="111" t="str">
        <f>IFERROR(INDEX(tblProjects[案件ID],9)&amp;"","")</f>
        <v/>
      </c>
    </row>
    <row r="15" ht="30" customHeight="1">
      <c r="B15" s="106" t="inlineStr">
        <is>
          <t>時間割の表示終了時刻</t>
        </is>
      </c>
      <c r="C15" s="115" t="n">
        <v>0.7916666666666666</v>
      </c>
      <c r="D15" s="108" t="inlineStr">
        <is>
          <t>初期値 19:00（開始〜終了が30分なら22枠、60分なら11枠）</t>
        </is>
      </c>
      <c r="F15" s="109" t="n"/>
      <c r="H15" s="110" t="n"/>
      <c r="I15" s="109" t="n"/>
      <c r="K15" s="109" t="n"/>
      <c r="M15" s="109" t="n"/>
      <c r="O15" s="111" t="str">
        <f>IF(F14="","",F14)</f>
        <v/>
      </c>
      <c r="Q15" s="111" t="str">
        <f>IFERROR(INDEX(tblProjects[案件ID],10)&amp;"","")</f>
        <v/>
      </c>
    </row>
    <row r="16" ht="30" customHeight="1">
      <c r="B16" s="106" t="inlineStr">
        <is>
          <t>既定の開始時刻</t>
        </is>
      </c>
      <c r="C16" s="115" t="n">
        <v>0.375</v>
      </c>
      <c r="D16" s="108" t="inlineStr">
        <is>
          <t>工程の開始時刻が空欄のときに使う時刻（初期値 9:00）</t>
        </is>
      </c>
      <c r="F16" s="109" t="n"/>
      <c r="H16" s="110" t="n"/>
      <c r="I16" s="109" t="n"/>
      <c r="K16" s="109" t="n"/>
      <c r="M16" s="109" t="n"/>
      <c r="O16" s="111" t="str">
        <f>IF(F15="","",F15)</f>
        <v/>
      </c>
      <c r="Q16" s="111" t="str">
        <f>IFERROR(INDEX(tblProjects[案件ID],11)&amp;"","")</f>
        <v/>
      </c>
    </row>
    <row r="17" ht="30" customHeight="1">
      <c r="B17" s="106" t="inlineStr">
        <is>
          <t>既定の終了時刻</t>
        </is>
      </c>
      <c r="C17" s="115" t="n">
        <v>0.75</v>
      </c>
      <c r="D17" s="108" t="inlineStr">
        <is>
          <t>工程の終了時刻が空欄のときに使う時刻（初期値 18:00）</t>
        </is>
      </c>
      <c r="F17" s="109" t="n"/>
      <c r="H17" s="110" t="n"/>
      <c r="I17" s="109" t="n"/>
      <c r="K17" s="109" t="n"/>
      <c r="M17" s="109" t="n"/>
      <c r="O17" s="111" t="str">
        <f>IF(F16="","",F16)</f>
        <v/>
      </c>
      <c r="Q17" s="111" t="str">
        <f>IFERROR(INDEX(tblProjects[案件ID],12)&amp;"","")</f>
        <v/>
      </c>
    </row>
    <row r="18" ht="30" customHeight="1">
      <c r="B18" s="106" t="inlineStr">
        <is>
          <t>納期が迫る注意（日）</t>
        </is>
      </c>
      <c r="C18" s="116" t="n">
        <v>7</v>
      </c>
      <c r="D18" s="108" t="inlineStr">
        <is>
          <t>顧客納期までの残り日数がこの日数以下で「納期迫る」と表示します。</t>
        </is>
      </c>
      <c r="F18" s="109" t="n"/>
      <c r="H18" s="110" t="n"/>
      <c r="I18" s="109" t="n"/>
      <c r="K18" s="109" t="n"/>
      <c r="M18" s="109" t="n"/>
      <c r="O18" s="111" t="str">
        <f>IF(F17="","",F17)</f>
        <v/>
      </c>
      <c r="Q18" s="111" t="str">
        <f>IFERROR(INDEX(tblProjects[案件ID],13)&amp;"","")</f>
        <v/>
      </c>
    </row>
    <row r="19">
      <c r="F19" s="109" t="n"/>
      <c r="H19" s="110" t="n"/>
      <c r="I19" s="109" t="n"/>
      <c r="K19" s="109" t="n"/>
      <c r="M19" s="109" t="n"/>
      <c r="O19" s="111" t="str">
        <f>IF(F18="","",F18)</f>
        <v/>
      </c>
      <c r="Q19" s="111" t="str">
        <f>IFERROR(INDEX(tblProjects[案件ID],14)&amp;"","")</f>
        <v/>
      </c>
    </row>
    <row r="20">
      <c r="B20" s="104" t="inlineStr">
        <is>
          <t>運用メモ</t>
        </is>
      </c>
      <c r="F20" s="109" t="n"/>
      <c r="H20" s="110" t="n"/>
      <c r="I20" s="109" t="n"/>
      <c r="K20" s="109" t="n"/>
      <c r="M20" s="109" t="n"/>
      <c r="O20" s="111" t="str">
        <f>IF(F19="","",F19)</f>
        <v/>
      </c>
      <c r="Q20" s="111" t="str">
        <f>IFERROR(INDEX(tblProjects[案件ID],15)&amp;"","")</f>
        <v/>
      </c>
    </row>
    <row r="21">
      <c r="B21" s="117" t="inlineStr">
        <is>
          <t>日本の祝日は自動では入りません。休日一覧に会社の休業日・祝日を日付で入力してください（週末は自動で灰色表示）。</t>
        </is>
      </c>
      <c r="F21" s="109" t="n"/>
      <c r="H21" s="110" t="n"/>
      <c r="I21" s="109" t="n"/>
      <c r="K21" s="109" t="n"/>
      <c r="M21" s="109" t="n"/>
      <c r="O21" s="111" t="str">
        <f>IF(F20="","",F20)</f>
        <v/>
      </c>
      <c r="Q21" s="111" t="str">
        <f>IFERROR(INDEX(tblProjects[案件ID],16)&amp;"","")</f>
        <v/>
      </c>
    </row>
    <row r="22">
      <c r="B22" s="117" t="inlineStr">
        <is>
          <t>工程の状態・案件の状態は計算式が名称を直接使うため、名称を変えないでください（固定）。</t>
        </is>
      </c>
      <c r="F22" s="109" t="n"/>
      <c r="H22" s="110" t="n"/>
      <c r="I22" s="109" t="n"/>
      <c r="K22" s="109" t="n"/>
      <c r="M22" s="109" t="n"/>
      <c r="O22" s="111" t="str">
        <f>IF(F21="","",F21)</f>
        <v/>
      </c>
      <c r="Q22" s="111" t="str">
        <f>IFERROR(INDEX(tblProjects[案件ID],17)&amp;"","")</f>
        <v/>
      </c>
    </row>
    <row r="23">
      <c r="B23" s="117" t="inlineStr">
        <is>
          <t>時刻を省略した工程は既定の開始・終了時刻を使います。複数日の工程は開始日時〜終了日時の連続期間として扱います。</t>
        </is>
      </c>
      <c r="F23" s="109" t="n"/>
      <c r="H23" s="110" t="n"/>
      <c r="I23" s="109" t="n"/>
      <c r="K23" s="109" t="n"/>
      <c r="M23" s="109" t="n"/>
      <c r="O23" s="111" t="str">
        <f>IF(F22="","",F22)</f>
        <v/>
      </c>
      <c r="Q23" s="111" t="str">
        <f>IFERROR(INDEX(tblProjects[案件ID],18)&amp;"","")</f>
        <v/>
      </c>
    </row>
    <row r="24">
      <c r="B24" s="117" t="inlineStr">
        <is>
          <t>担当者は上から詰めて入力します。各画面の担当者の絞り込み候補にも自動で反映されます。</t>
        </is>
      </c>
      <c r="F24" s="109" t="n"/>
      <c r="H24" s="110" t="n"/>
      <c r="I24" s="109" t="n"/>
      <c r="K24" s="109" t="n"/>
      <c r="M24" s="109" t="n"/>
      <c r="O24" s="111" t="str">
        <f>IF(F23="","",F23)</f>
        <v/>
      </c>
      <c r="Q24" s="111" t="str">
        <f>IFERROR(INDEX(tblProjects[案件ID],19)&amp;"","")</f>
        <v/>
      </c>
    </row>
    <row r="25">
      <c r="H25" s="110" t="n"/>
      <c r="I25" s="109" t="n"/>
      <c r="O25" s="111" t="str">
        <f>IF(F24="","",F24)</f>
        <v/>
      </c>
      <c r="Q25" s="111" t="str">
        <f>IFERROR(INDEX(tblProjects[案件ID],20)&amp;"","")</f>
        <v/>
      </c>
    </row>
    <row r="26">
      <c r="H26" s="110" t="n"/>
      <c r="I26" s="109" t="n"/>
      <c r="Q26" s="111" t="str">
        <f>IFERROR(INDEX(tblProjects[案件ID],21)&amp;"","")</f>
        <v/>
      </c>
    </row>
    <row r="27">
      <c r="H27" s="110" t="n"/>
      <c r="I27" s="109" t="n"/>
      <c r="Q27" s="111" t="str">
        <f>IFERROR(INDEX(tblProjects[案件ID],22)&amp;"","")</f>
        <v/>
      </c>
    </row>
    <row r="28">
      <c r="H28" s="110" t="n"/>
      <c r="I28" s="109" t="n"/>
      <c r="Q28" s="111" t="str">
        <f>IFERROR(INDEX(tblProjects[案件ID],23)&amp;"","")</f>
        <v/>
      </c>
    </row>
    <row r="29">
      <c r="H29" s="110" t="n"/>
      <c r="I29" s="109" t="n"/>
      <c r="Q29" s="111" t="str">
        <f>IFERROR(INDEX(tblProjects[案件ID],24)&amp;"","")</f>
        <v/>
      </c>
    </row>
    <row r="30">
      <c r="H30" s="110" t="n"/>
      <c r="I30" s="109" t="n"/>
      <c r="Q30" s="111" t="str">
        <f>IFERROR(INDEX(tblProjects[案件ID],25)&amp;"","")</f>
        <v/>
      </c>
    </row>
    <row r="31">
      <c r="H31" s="110" t="n"/>
      <c r="I31" s="109" t="n"/>
      <c r="Q31" s="111" t="str">
        <f>IFERROR(INDEX(tblProjects[案件ID],26)&amp;"","")</f>
        <v/>
      </c>
    </row>
    <row r="32">
      <c r="H32" s="110" t="n"/>
      <c r="I32" s="109" t="n"/>
      <c r="Q32" s="111" t="str">
        <f>IFERROR(INDEX(tblProjects[案件ID],27)&amp;"","")</f>
        <v/>
      </c>
    </row>
    <row r="33">
      <c r="H33" s="110" t="n"/>
      <c r="I33" s="109" t="n"/>
      <c r="Q33" s="111" t="str">
        <f>IFERROR(INDEX(tblProjects[案件ID],28)&amp;"","")</f>
        <v/>
      </c>
    </row>
    <row r="34">
      <c r="H34" s="110" t="n"/>
      <c r="I34" s="109" t="n"/>
      <c r="Q34" s="111" t="str">
        <f>IFERROR(INDEX(tblProjects[案件ID],29)&amp;"","")</f>
        <v/>
      </c>
    </row>
    <row r="35">
      <c r="Q35" s="111" t="str">
        <f>IFERROR(INDEX(tblProjects[案件ID],30)&amp;"","")</f>
        <v/>
      </c>
    </row>
    <row r="36">
      <c r="Q36" s="111" t="str">
        <f>IFERROR(INDEX(tblProjects[案件ID],31)&amp;"","")</f>
        <v/>
      </c>
    </row>
    <row r="37">
      <c r="Q37" s="111" t="str">
        <f>IFERROR(INDEX(tblProjects[案件ID],32)&amp;"","")</f>
        <v/>
      </c>
    </row>
    <row r="38">
      <c r="Q38" s="111" t="str">
        <f>IFERROR(INDEX(tblProjects[案件ID],33)&amp;"","")</f>
        <v/>
      </c>
    </row>
    <row r="39">
      <c r="Q39" s="111" t="str">
        <f>IFERROR(INDEX(tblProjects[案件ID],34)&amp;"","")</f>
        <v/>
      </c>
    </row>
    <row r="40">
      <c r="Q40" s="111" t="str">
        <f>IFERROR(INDEX(tblProjects[案件ID],35)&amp;"","")</f>
        <v/>
      </c>
    </row>
    <row r="41">
      <c r="Q41" s="111" t="str">
        <f>IFERROR(INDEX(tblProjects[案件ID],36)&amp;"","")</f>
        <v/>
      </c>
    </row>
    <row r="42">
      <c r="Q42" s="111" t="str">
        <f>IFERROR(INDEX(tblProjects[案件ID],37)&amp;"","")</f>
        <v/>
      </c>
    </row>
    <row r="43">
      <c r="Q43" s="111" t="str">
        <f>IFERROR(INDEX(tblProjects[案件ID],38)&amp;"","")</f>
        <v/>
      </c>
    </row>
    <row r="44">
      <c r="Q44" s="111" t="str">
        <f>IFERROR(INDEX(tblProjects[案件ID],39)&amp;"","")</f>
        <v/>
      </c>
    </row>
    <row r="45">
      <c r="Q45" s="111" t="str">
        <f>IFERROR(INDEX(tblProjects[案件ID],40)&amp;"","")</f>
        <v/>
      </c>
    </row>
    <row r="46">
      <c r="Q46" s="111" t="str">
        <f>IFERROR(INDEX(tblProjects[案件ID],41)&amp;"","")</f>
        <v/>
      </c>
    </row>
    <row r="47">
      <c r="Q47" s="111" t="str">
        <f>IFERROR(INDEX(tblProjects[案件ID],42)&amp;"","")</f>
        <v/>
      </c>
    </row>
    <row r="48">
      <c r="Q48" s="111" t="str">
        <f>IFERROR(INDEX(tblProjects[案件ID],43)&amp;"","")</f>
        <v/>
      </c>
    </row>
    <row r="49">
      <c r="Q49" s="111" t="str">
        <f>IFERROR(INDEX(tblProjects[案件ID],44)&amp;"","")</f>
        <v/>
      </c>
    </row>
    <row r="50">
      <c r="Q50" s="111" t="str">
        <f>IFERROR(INDEX(tblProjects[案件ID],45)&amp;"","")</f>
        <v/>
      </c>
    </row>
    <row r="51">
      <c r="Q51" s="111" t="str">
        <f>IFERROR(INDEX(tblProjects[案件ID],46)&amp;"","")</f>
        <v/>
      </c>
    </row>
    <row r="52">
      <c r="Q52" s="111" t="str">
        <f>IFERROR(INDEX(tblProjects[案件ID],47)&amp;"","")</f>
        <v/>
      </c>
    </row>
    <row r="53">
      <c r="Q53" s="111" t="str">
        <f>IFERROR(INDEX(tblProjects[案件ID],48)&amp;"","")</f>
        <v/>
      </c>
    </row>
    <row r="54">
      <c r="Q54" s="111" t="str">
        <f>IFERROR(INDEX(tblProjects[案件ID],49)&amp;"","")</f>
        <v/>
      </c>
    </row>
    <row r="55">
      <c r="Q55" s="111" t="str">
        <f>IFERROR(INDEX(tblProjects[案件ID],50)&amp;"","")</f>
        <v/>
      </c>
    </row>
  </sheetData>
  <mergeCells count="1">
    <mergeCell ref="N1:P1"/>
  </mergeCells>
  <dataValidations count="11">
    <dataValidation sqref="C5" showDropDown="0" showInputMessage="1" showErrorMessage="1" allowBlank="1" errorTitle="日付を入力" error="日付（例 2026/10/05）を入力してください。" promptTitle="入力方法" prompt="空欄なら今日" type="date" errorStyle="stop" operator="between">
      <formula1>36526</formula1>
      <formula2>73051</formula2>
    </dataValidation>
    <dataValidation sqref="C7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C9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C11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C14" showDropDown="0" showInputMessage="0" showErrorMessage="1" allowBlank="1" errorTitle="時刻を入力" error="時刻（例 9:00、13:30）を入力してください。" type="time" errorStyle="stop" operator="between">
      <formula1>0</formula1>
      <formula2>0.999988426</formula2>
    </dataValidation>
    <dataValidation sqref="C15" showDropDown="0" showInputMessage="0" showErrorMessage="1" allowBlank="1" errorTitle="時刻を入力" error="時刻（例 9:00、13:30）を入力してください。" type="time" errorStyle="stop" operator="between">
      <formula1>0</formula1>
      <formula2>0.999988426</formula2>
    </dataValidation>
    <dataValidation sqref="C16" showDropDown="0" showInputMessage="0" showErrorMessage="1" allowBlank="1" errorTitle="時刻を入力" error="時刻（例 9:00、13:30）を入力してください。" type="time" errorStyle="stop" operator="between">
      <formula1>0</formula1>
      <formula2>0.999988426</formula2>
    </dataValidation>
    <dataValidation sqref="C17" showDropDown="0" showInputMessage="0" showErrorMessage="1" allowBlank="1" errorTitle="時刻を入力" error="時刻（例 9:00、13:30）を入力してください。" type="time" errorStyle="stop" operator="between">
      <formula1>0</formula1>
      <formula2>0.999988426</formula2>
    </dataValidation>
    <dataValidation sqref="C18" showDropDown="0" showInputMessage="0" showErrorMessage="1" allowBlank="1" errorTitle="値を確認" error="範囲外の値です。このまま登録すると入力チェック欄に警告が表示されます。" type="decimal" errorStyle="stop" operator="between">
      <formula1>0</formula1>
      <formula2>365</formula2>
    </dataValidation>
    <dataValidation sqref="C13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"30,60"</formula1>
    </dataValidation>
    <dataValidation sqref="H5:H34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</dataValidations>
  <hyperlinks>
    <hyperlink ref="Q1" location="'01_全体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C9F45F"/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0" customWidth="1" min="2" max="2"/>
    <col width="22" customWidth="1" min="3" max="3"/>
    <col width="14" customWidth="1" min="4" max="4"/>
  </cols>
  <sheetData>
    <row r="1" ht="30" customHeight="1">
      <c r="A1" s="1" t="inlineStr">
        <is>
          <t>使い方：工程管理・ガント</t>
        </is>
      </c>
      <c r="B1" s="2" t="n"/>
      <c r="C1" s="3" t="inlineStr">
        <is>
          <t>サンプル（架空データ）</t>
        </is>
      </c>
      <c r="D1" s="35" t="inlineStr">
        <is>
          <t>← ホームへ</t>
        </is>
      </c>
    </row>
    <row r="3" ht="24" customHeight="1">
      <c r="B3" s="118" t="inlineStr">
        <is>
          <t>このブックでできること</t>
        </is>
      </c>
    </row>
    <row r="4">
      <c r="B4" s="119" t="inlineStr">
        <is>
          <t>・案件ごとの工程・担当・計画・実績・顧客納期を1行1工程で管理し、日別（42日）・週別（13週）・当日の時間割で横棒を表示します。</t>
        </is>
      </c>
    </row>
    <row r="5">
      <c r="B5" s="119" t="inlineStr">
        <is>
          <t>・日付や時刻を変えると、数式と条件付き書式で横棒が自動で移動します（手で塗る必要はありません）。</t>
        </is>
      </c>
    </row>
    <row r="6">
      <c r="B6" s="119" t="inlineStr">
        <is>
          <t>・今の工程、工程の期限超過、顧客納期より遅い見込、担当者の予定重複の可能性を表示します。</t>
        </is>
      </c>
    </row>
    <row r="7">
      <c r="B7" s="119" t="inlineStr">
        <is>
          <t>・マクロなしの .xlsx です。Excel だけで動き、AI・プラグイン・外部サービスへのログインは不要です。</t>
        </is>
      </c>
    </row>
    <row r="8">
      <c r="B8" s="119" t="inlineStr">
        <is>
          <t>・先行工程の自動繰り延べ、外部カレンダー登録、通知、クリティカルパス計算、作業員・設備の自動配置は行いません。</t>
        </is>
      </c>
    </row>
    <row r="10" ht="24" customHeight="1">
      <c r="B10" s="118" t="inlineStr">
        <is>
          <t>最初にやること（開始手順）</t>
        </is>
      </c>
    </row>
    <row r="11">
      <c r="B11" s="119" t="inlineStr">
        <is>
          <t>1. 07_設定：担当者（社員・協力会社）を上から入力し、会社の休業日・祝日を休日一覧に入れます（祝日は自動では入りません）。</t>
        </is>
      </c>
    </row>
    <row r="12">
      <c r="B12" s="119" t="inlineStr">
        <is>
          <t>2. 02_案件マスター：1案件1行で、案件ID・顧客名・案件名・責任者・顧客納期・状態を入力します。</t>
        </is>
      </c>
    </row>
    <row r="13">
      <c r="B13" s="119" t="inlineStr">
        <is>
          <t>3. 03_工程入力：1工程1行で、工程ID・案件ID・工程名・担当・状態・計画開始日・計画終了日を入力します。</t>
        </is>
      </c>
    </row>
    <row r="14">
      <c r="B14" s="119" t="inlineStr">
        <is>
          <t>4. 01_全体ホーム・04_日別ガントで表示を確認します。</t>
        </is>
      </c>
    </row>
    <row r="15">
      <c r="B15" s="119" t="inlineStr">
        <is>
          <t>※ 空欄テンプレートでは、表の1行目に入力すれば最初の1件が登録されます。表のすぐ下の行に続けて入力すると表が広がります。</t>
        </is>
      </c>
    </row>
    <row r="17" ht="24" customHeight="1">
      <c r="B17" s="118" t="inlineStr">
        <is>
          <t>予定と実績の入れ方</t>
        </is>
      </c>
    </row>
    <row r="18">
      <c r="B18" s="119" t="inlineStr">
        <is>
          <t>・計画開始日／計画終了日：当初の計画。実績を入れても書き換えません（計画との差が見えるようにするため）。</t>
        </is>
      </c>
    </row>
    <row r="19">
      <c r="B19" s="119" t="inlineStr">
        <is>
          <t>・完了見込日：計画より遅れそう（または早まりそう）な時に、現在の見込を入れます。空欄の場合は計画終了日を見込として扱います（予定ベース）。</t>
        </is>
      </c>
    </row>
    <row r="20">
      <c r="B20" s="119" t="inlineStr">
        <is>
          <t>・実績開始日／実績終了日：実際に始めた日・終えた日。完了したら状態を「完了」、進捗率を100%にします。</t>
        </is>
      </c>
    </row>
    <row r="21">
      <c r="B21" s="119" t="inlineStr">
        <is>
          <t>・進捗率は担当者が入力します。日付が過ぎても自動で増えたり完了になったりしません。</t>
        </is>
      </c>
    </row>
    <row r="22">
      <c r="B22" s="119" t="inlineStr">
        <is>
          <t>・顧客納期は 02_案件マスターで管理します。工程を動かしても顧客納期は自動では変わりません。</t>
        </is>
      </c>
    </row>
    <row r="24" ht="24" customHeight="1">
      <c r="B24" s="118" t="inlineStr">
        <is>
          <t>時刻と時間割</t>
        </is>
      </c>
    </row>
    <row r="25">
      <c r="B25" s="119" t="inlineStr">
        <is>
          <t>・開始時刻・終了時刻は任意です。空欄なら 07_設定 の既定時刻（初期値 9:00〜18:00）を使います。</t>
        </is>
      </c>
    </row>
    <row r="26">
      <c r="B26" s="119" t="inlineStr">
        <is>
          <t>・複数日の工程は「開始日＋開始時刻」から「終了日＋終了時刻」までの連続期間として扱います（中日は終日）。</t>
        </is>
      </c>
    </row>
    <row r="27">
      <c r="B27" s="119" t="inlineStr">
        <is>
          <t>・毎日決まった時間帯だけ作業する場合は、日ごとに工程行を分けて登録してください。</t>
        </is>
      </c>
    </row>
    <row r="28">
      <c r="B28" s="119" t="inlineStr">
        <is>
          <t>・夜間など日をまたぐ作業は、計画終了日を翌日にし、終了時刻を入れます（例：10/5 18:00〜10/6 6:00）。</t>
        </is>
      </c>
    </row>
    <row r="29">
      <c r="B29" s="119" t="inlineStr">
        <is>
          <t>・重なりの判定は「開始 ＜ 相手の終了 かつ 終了 ＞ 相手の開始」です。9:00〜10:00 と 10:00〜11:00 は重複にしません。</t>
        </is>
      </c>
    </row>
    <row r="30">
      <c r="B30" s="119" t="inlineStr">
        <is>
          <t>・予定重複は「可能性」の表示です。人員や設備を自動で割り当て直す機能ではありません。</t>
        </is>
      </c>
    </row>
    <row r="32" ht="24" customHeight="1">
      <c r="B32" s="118" t="inlineStr">
        <is>
          <t>毎日・毎週の確認</t>
        </is>
      </c>
    </row>
    <row r="33">
      <c r="B33" s="119" t="inlineStr">
        <is>
          <t>・毎日（各担当者）：自分の工程の状態・進捗率・実績日を更新し、遅れそうなら完了見込日を入れます。</t>
        </is>
      </c>
    </row>
    <row r="34">
      <c r="B34" s="119" t="inlineStr">
        <is>
          <t>・毎日（工程管理者）：01_全体ホームの②（遅れ・注意）と 06_当日時間割の重複を確認します。</t>
        </is>
      </c>
    </row>
    <row r="35">
      <c r="B35" s="119" t="inlineStr">
        <is>
          <t>・毎週（責任者）：01_全体ホームの①で納期判定と完了見込を確認し、顧客への連絡が必要か判断します。05_週別ガントで先の工程を確認します。</t>
        </is>
      </c>
    </row>
    <row r="37" ht="24" customHeight="1">
      <c r="B37" s="118" t="inlineStr">
        <is>
          <t>表示の切り替え・印刷</t>
        </is>
      </c>
    </row>
    <row r="38">
      <c r="B38" s="119" t="inlineStr">
        <is>
          <t>・各ガントの上部の「担当」「案件」で絞り込みます。表示開始日・時間割の表示日・時間粒度は 07_設定 で変えます。</t>
        </is>
      </c>
    </row>
    <row r="39">
      <c r="B39" s="119" t="inlineStr">
        <is>
          <t>・表示行数の上限（日別・週別60行、時間割30行）を超えると、件数と「未表示」の案内が出ます。絞り込んで確認してください。</t>
        </is>
      </c>
    </row>
    <row r="40">
      <c r="B40" s="119" t="inlineStr">
        <is>
          <t>・印刷：日別ガントは A3 横、週別ガント・時間割・ホームは A4 横で横幅1ページに合わせる設定です。縦は複数ページになり、見出しが繰り返されます。</t>
        </is>
      </c>
    </row>
    <row r="42" ht="24" customHeight="1">
      <c r="B42" s="118" t="inlineStr">
        <is>
          <t>IDと他のブックとの連携</t>
        </is>
      </c>
    </row>
    <row r="43">
      <c r="B43" s="119" t="inlineStr">
        <is>
          <t>・工程ID（S0001）・案件ID（A0001）は手入力の固定値です。表の上の「次のID候補」を見て入力します。</t>
        </is>
      </c>
    </row>
    <row r="44">
      <c r="B44" s="119" t="inlineStr">
        <is>
          <t>・案件ID は顧客管理CRM と同じ書式です。受注した案件は、CRM から案件ID・顧客名・案件名を手入力で転記します（自動同期はしません）。</t>
        </is>
      </c>
    </row>
    <row r="46" ht="24" customHeight="1">
      <c r="B46" s="118" t="inlineStr">
        <is>
          <t>注意・制約</t>
        </is>
      </c>
    </row>
    <row r="47">
      <c r="B47" s="119" t="inlineStr">
        <is>
          <t>・表示専用のシート（ホーム・各ガント）はパスワードなしで保護しています（誤操作防止のため。情報を守る機能ではありません）。解除は［校閲］→［シート保護の解除］。</t>
        </is>
      </c>
    </row>
    <row r="48">
      <c r="B48" s="119" t="inlineStr">
        <is>
          <t>・自動計算（青灰色）・計算用（灰色見出し）の列は編集しないでください。消した場合は同じ列の上の行のセルをコピーして貼り付けます。</t>
        </is>
      </c>
    </row>
    <row r="49">
      <c r="B49" s="119" t="inlineStr">
        <is>
          <t>・対応環境：Microsoft 365 版 Excel（Windows／Mac）を想定。TEXTJOIN・MAXIFS・MINIFS を使うため Excel 2019 より前では動きません。Web 版・Google スプレッドシートの動作は保証しません。</t>
        </is>
      </c>
    </row>
    <row r="50">
      <c r="B50" s="119" t="inlineStr">
        <is>
          <t>・サンプル版は架空データです。実運用は空欄テンプレート版から始めてください。</t>
        </is>
      </c>
    </row>
  </sheetData>
  <hyperlinks>
    <hyperlink ref="D1" location="'01_全体ホーム'!A1" display="← ホームへ"/>
  </hyperlinks>
  <printOptions horizontalCentered="1"/>
  <pageMargins left="0.4" right="0.4" top="0.5" bottom="0.5" header="0.2" footer="0.2"/>
  <pageSetup orientation="portrait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セコンドデスク</dc:creator>
  <dc:title>工程管理・ガント</dc:title>
  <dc:subject>セコンドデスク 工程管理・ガント v1.0 サンプル（架空データ）</dc:subject>
  <dcterms:created xsi:type="dcterms:W3CDTF">2026-09-27T01:20:04Z</dcterms:created>
  <dcterms:modified xsi:type="dcterms:W3CDTF">2026-09-27T01:20:04Z</dcterms:modified>
  <cp:lastModifiedBy>セコンドデスク</cp:lastModifiedBy>
  <cp:keywords>セコンドデスク; v1.0; マクロなし</cp:keywords>
</cp:coreProperties>
</file>