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ホーム" sheetId="1" state="visible" r:id="rId1"/>
    <sheet name="02_案件一覧" sheetId="2" state="visible" r:id="rId2"/>
    <sheet name="03_連絡履歴" sheetId="3" state="visible" r:id="rId3"/>
    <sheet name="04_対応タスク" sheetId="4" state="visible" r:id="rId4"/>
    <sheet name="05_顧客マスター" sheetId="5" state="visible" r:id="rId5"/>
    <sheet name="06_担当者マスター" sheetId="6" state="visible" r:id="rId6"/>
    <sheet name="07_設定" sheetId="7" state="visible" r:id="rId7"/>
    <sheet name="08_使い方" sheetId="8" state="visible" r:id="rId8"/>
  </sheets>
  <definedNames>
    <definedName name="RefDateInput">'07_設定'!$C$5</definedName>
    <definedName name="RefDate">'07_設定'!$C$6</definedName>
    <definedName name="StaleDays">'07_設定'!$C$8</definedName>
    <definedName name="UpcomingDays">'07_設定'!$C$9</definedName>
    <definedName name="lst_Stage">'07_設定'!$F$5:$F$24</definedName>
    <definedName name="lst_StageKind">'07_設定'!$G$5:$G$24</definedName>
    <definedName name="lst_Status">'07_設定'!$I$5:$I$24</definedName>
    <definedName name="lst_StatusKind">'07_設定'!$J$5:$J$24</definedName>
    <definedName name="lst_Staff">'07_設定'!$L$5:$L$24</definedName>
    <definedName name="lst_Channel">'07_設定'!$N$5:$N$24</definedName>
    <definedName name="lst_Direction">'07_設定'!$P$5:$P$24</definedName>
    <definedName name="lst_Result">'07_設定'!$R$5:$R$24</definedName>
    <definedName name="lst_ResultReal">'07_設定'!$S$5:$S$24</definedName>
    <definedName name="lst_TaskType">'07_設定'!$U$5:$U$6</definedName>
    <definedName name="lst_TaskStatus">'07_設定'!$W$5:$W$8</definedName>
    <definedName name="lst_Contact">'07_設定'!$Y$5:$Y$6</definedName>
    <definedName name="dv_Stage">'07_設定'!$F$5:INDEX('07_設定'!$F$5:$F$24,MAX(1,COUNTIF('07_設定'!$F$5:$F$24,"?*")))</definedName>
    <definedName name="dv_Status">'07_設定'!$I$5:INDEX('07_設定'!$I$5:$I$24,MAX(1,COUNTIF('07_設定'!$I$5:$I$24,"?*")))</definedName>
    <definedName name="dv_Staff">'07_設定'!$L$5:INDEX('07_設定'!$L$5:$L$24,MAX(1,COUNTIF('07_設定'!$L$5:$L$24,"?*")))</definedName>
    <definedName name="dv_Channel">'07_設定'!$N$5:INDEX('07_設定'!$N$5:$N$24,MAX(1,COUNTIF('07_設定'!$N$5:$N$24,"?*")))</definedName>
    <definedName name="dv_Direction">'07_設定'!$P$5:INDEX('07_設定'!$P$5:$P$24,MAX(1,COUNTIF('07_設定'!$P$5:$P$24,"?*")))</definedName>
    <definedName name="dv_Result">'07_設定'!$R$5:INDEX('07_設定'!$R$5:$R$24,MAX(1,COUNTIF('07_設定'!$R$5:$R$24,"?*")))</definedName>
    <definedName name="dv_TaskType">'07_設定'!$U$5:INDEX('07_設定'!$U$5:$U$24,MAX(1,COUNTIF('07_設定'!$U$5:$U$24,"?*")))</definedName>
    <definedName name="dv_TaskStatus">'07_設定'!$W$5:INDEX('07_設定'!$W$5:$W$24,MAX(1,COUNTIF('07_設定'!$W$5:$W$24,"?*")))</definedName>
    <definedName name="dv_Contact">'07_設定'!$Y$5:INDEX('07_設定'!$Y$5:$Y$24,MAX(1,COUNTIF('07_設定'!$Y$5:$Y$24,"?*")))</definedName>
    <definedName name="dv_HomeStaff">'07_設定'!$AA$5:INDEX('07_設定'!$AA$5:$AA$25,MAX(1,COUNTIF('07_設定'!$AA$5:$AA$25,"?*")))</definedName>
    <definedName name="dv_CustomerID">'05_顧客マスター'!$A$6:INDEX('05_顧客マスター'!$A$6:$A$2000,MAX(1,COUNTIF('05_顧客マスター'!$A$6:$A$2000,"?*")))</definedName>
    <definedName name="dv_ContactID">'06_担当者マスター'!$A$6:INDEX('06_担当者マスター'!$A$6:$A$2000,MAX(1,COUNTIF('06_担当者マスター'!$A$6:$A$2000,"?*")))</definedName>
    <definedName name="dv_CaseID">'02_案件一覧'!$A$6:INDEX('02_案件一覧'!$A$6:$A$2000,MAX(1,COUNTIF('02_案件一覧'!$A$6:$A$2000,"?*")))</definedName>
    <definedName name="HomeStaff">'01_ホーム'!$J$5</definedName>
    <definedName name="_xlnm.Print_Titles" localSheetId="0">'01_ホーム'!$1:$1</definedName>
    <definedName name="_xlnm.Print_Area" localSheetId="0">'01_ホーム'!$A$1:$Q$76</definedName>
    <definedName name="_xlnm.Print_Titles" localSheetId="1">'02_案件一覧'!$5:$5</definedName>
    <definedName name="_xlnm.Print_Area" localSheetId="1">'02_案件一覧'!$A$1:$O$54</definedName>
    <definedName name="_xlnm.Print_Titles" localSheetId="2">'03_連絡履歴'!$5:$5</definedName>
    <definedName name="_xlnm.Print_Area" localSheetId="2">'03_連絡履歴'!$A$1:$N$104</definedName>
    <definedName name="_xlnm.Print_Titles" localSheetId="3">'04_対応タスク'!$5:$5</definedName>
    <definedName name="_xlnm.Print_Area" localSheetId="3">'04_対応タスク'!$A$1:$M$104</definedName>
    <definedName name="_xlnm.Print_Titles" localSheetId="4">'05_顧客マスター'!$5:$5</definedName>
    <definedName name="_xlnm.Print_Area" localSheetId="4">'05_顧客マスター'!$A$1:$P$34</definedName>
    <definedName name="_xlnm.Print_Titles" localSheetId="5">'06_担当者マスター'!$5:$5</definedName>
    <definedName name="_xlnm.Print_Area" localSheetId="5">'06_担当者マスター'!$A$1:$K$34</definedName>
    <definedName name="_xlnm.Print_Area" localSheetId="6">'07_設定'!$A$1:$AA$24</definedName>
    <definedName name="_xlnm.Print_Titles" localSheetId="7">'08_使い方'!$1:$1</definedName>
    <definedName name="_xlnm.Print_Area" localSheetId="7">'08_使い方'!$A$1:$B$70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/mm/dd(aaa)"/>
    <numFmt numFmtId="165" formatCode="yyyy/mm/dd"/>
    <numFmt numFmtId="166" formatCode="0&quot;日&quot;"/>
    <numFmt numFmtId="167" formatCode="yyyy/mm/dd hh:mm"/>
    <numFmt numFmtId="168" formatCode="#,##0;[Red]-#,##0"/>
    <numFmt numFmtId="169" formatCode="0&quot;件&quot;"/>
    <numFmt numFmtId="170" formatCode="m/d(aaa)"/>
    <numFmt numFmtId="171" formatCode="m/d h:mm"/>
  </numFmts>
  <fonts count="32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10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5B6678"/>
      <sz val="9"/>
    </font>
    <font>
      <name val="游ゴシック"/>
      <color rgb="007A5A00"/>
      <sz val="9"/>
    </font>
    <font>
      <name val="游ゴシック"/>
      <color rgb="00A12622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b val="1"/>
      <color rgb="000A1B36"/>
      <sz val="10"/>
    </font>
    <font>
      <name val="游ゴシック"/>
      <b val="1"/>
      <color rgb="002F6BDB"/>
      <sz val="10"/>
      <u val="single"/>
    </font>
    <font>
      <name val="游ゴシック"/>
      <b val="1"/>
      <color rgb="005B6678"/>
      <sz val="10"/>
    </font>
    <font>
      <name val="游ゴシック"/>
      <b val="1"/>
      <color rgb="000A1B36"/>
      <sz val="22"/>
    </font>
    <font>
      <name val="游ゴシック"/>
      <color rgb="005B6678"/>
      <sz val="8.5"/>
    </font>
    <font>
      <name val="游ゴシック"/>
      <b val="1"/>
      <color rgb="000A1B36"/>
      <sz val="10.5"/>
    </font>
    <font>
      <name val="游ゴシック"/>
      <b val="1"/>
      <color rgb="000A1B36"/>
      <sz val="13"/>
    </font>
    <font>
      <name val="游ゴシック"/>
      <b val="1"/>
      <color rgb="00FFFFFF"/>
      <sz val="11"/>
    </font>
    <font>
      <name val="游ゴシック"/>
      <b val="1"/>
      <color rgb="00C9F45F"/>
      <sz val="10"/>
    </font>
    <font>
      <name val="游ゴシック"/>
      <b val="1"/>
      <color rgb="000A1B36"/>
      <sz val="9.5"/>
    </font>
    <font>
      <name val="游ゴシック"/>
      <b val="1"/>
      <color rgb="00A12622"/>
      <sz val="9.5"/>
    </font>
    <font>
      <name val="游ゴシック"/>
      <b val="1"/>
      <color rgb="000A1B36"/>
      <sz val="12.5"/>
    </font>
    <font>
      <name val="游ゴシック"/>
      <color rgb="001F2A3C"/>
      <sz val="10.5"/>
    </font>
  </fonts>
  <fills count="12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EFF3F9"/>
        <bgColor rgb="00EFF3F9"/>
      </patternFill>
    </fill>
    <fill>
      <patternFill patternType="solid">
        <fgColor rgb="00EEF2F8"/>
        <bgColor rgb="00EEF2F8"/>
      </patternFill>
    </fill>
    <fill>
      <patternFill patternType="solid">
        <fgColor rgb="004A5D7A"/>
        <bgColor rgb="004A5D7A"/>
      </patternFill>
    </fill>
    <fill>
      <patternFill patternType="solid">
        <fgColor rgb="00FFFFFF"/>
        <bgColor rgb="00FFFFFF"/>
      </patternFill>
    </fill>
    <fill>
      <patternFill patternType="solid">
        <fgColor rgb="00F4F5F7"/>
        <bgColor rgb="00F4F5F7"/>
      </patternFill>
    </fill>
    <fill>
      <patternFill patternType="solid">
        <fgColor rgb="00FFF4CC"/>
        <bgColor rgb="00FFF4CC"/>
      </patternFill>
    </fill>
    <fill>
      <patternFill patternType="solid">
        <fgColor rgb="00FDE2E1"/>
        <bgColor rgb="00FDE2E1"/>
      </patternFill>
    </fill>
    <fill>
      <patternFill patternType="solid">
        <fgColor rgb="008A94A6"/>
        <bgColor rgb="008A94A6"/>
      </patternFill>
    </fill>
    <fill>
      <patternFill patternType="solid">
        <fgColor rgb="00C9F45F"/>
        <bgColor rgb="00C9F45F"/>
      </patternFill>
    </fill>
  </fills>
  <borders count="19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medium">
        <color rgb="002F6BDB"/>
      </left>
      <right style="medium">
        <color rgb="002F6BDB"/>
      </right>
      <top style="medium">
        <color rgb="002F6BDB"/>
      </top>
      <bottom style="medium">
        <color rgb="002F6BDB"/>
      </bottom>
    </border>
    <border>
      <left style="thin">
        <color rgb="00C5CFDD"/>
      </left>
      <top style="medium">
        <color rgb="000A1B36"/>
      </top>
    </border>
    <border>
      <right style="thin">
        <color rgb="00C5CFDD"/>
      </right>
      <top style="medium">
        <color rgb="000A1B36"/>
      </top>
    </border>
    <border>
      <left style="thin">
        <color rgb="00C5CFDD"/>
      </left>
    </border>
    <border>
      <right style="thin">
        <color rgb="00C5CFDD"/>
      </right>
    </border>
    <border>
      <left style="thin">
        <color rgb="00C5CFDD"/>
      </left>
      <bottom style="thin">
        <color rgb="00C5CFDD"/>
      </bottom>
    </border>
    <border>
      <right style="thin">
        <color rgb="00C5CFDD"/>
      </right>
      <bottom style="thin">
        <color rgb="00C5CFDD"/>
      </bottom>
    </border>
    <border>
      <left style="thin">
        <color rgb="00C5CFDD"/>
      </left>
      <top style="medium">
        <color rgb="007FA800"/>
      </top>
    </border>
    <border>
      <right style="thin">
        <color rgb="00C5CFDD"/>
      </right>
      <top style="medium">
        <color rgb="007FA800"/>
      </top>
    </border>
    <border>
      <left style="thin">
        <color rgb="00C5CFDD"/>
      </left>
      <top style="medium">
        <color rgb="00A12622"/>
      </top>
    </border>
    <border>
      <right style="thin">
        <color rgb="00C5CFDD"/>
      </right>
      <top style="medium">
        <color rgb="00A12622"/>
      </top>
    </border>
    <border>
      <left style="thin">
        <color rgb="00C5CFDD"/>
      </left>
      <top style="medium">
        <color rgb="00C9A100"/>
      </top>
    </border>
    <border>
      <right style="thin">
        <color rgb="00C5CFDD"/>
      </right>
      <top style="medium">
        <color rgb="00C9A100"/>
      </top>
    </border>
    <border>
      <bottom style="thin">
        <color rgb="000A1B36"/>
      </bottom>
    </border>
    <border>
      <bottom style="hair">
        <color rgb="00C5CFDD"/>
      </bottom>
    </border>
  </borders>
  <cellStyleXfs count="1">
    <xf numFmtId="0" fontId="1" fillId="0" borderId="0"/>
  </cellStyleXfs>
  <cellXfs count="80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19" fillId="11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indent="1"/>
    </xf>
    <xf numFmtId="0" fontId="20" fillId="3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indent="1"/>
    </xf>
    <xf numFmtId="0" fontId="5" fillId="0" borderId="4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vertical="center" wrapText="1" indent="1"/>
    </xf>
    <xf numFmtId="0" fontId="21" fillId="6" borderId="5" applyAlignment="1" pivotButton="0" quotePrefix="0" xfId="0">
      <alignment horizontal="center" vertical="bottom"/>
    </xf>
    <xf numFmtId="0" fontId="0" fillId="6" borderId="6" pivotButton="0" quotePrefix="0" xfId="0"/>
    <xf numFmtId="0" fontId="21" fillId="6" borderId="11" applyAlignment="1" pivotButton="0" quotePrefix="0" xfId="0">
      <alignment horizontal="center" vertical="bottom"/>
    </xf>
    <xf numFmtId="0" fontId="0" fillId="6" borderId="12" pivotButton="0" quotePrefix="0" xfId="0"/>
    <xf numFmtId="0" fontId="21" fillId="6" borderId="13" applyAlignment="1" pivotButton="0" quotePrefix="0" xfId="0">
      <alignment horizontal="center" vertical="bottom"/>
    </xf>
    <xf numFmtId="0" fontId="0" fillId="6" borderId="14" pivotButton="0" quotePrefix="0" xfId="0"/>
    <xf numFmtId="0" fontId="21" fillId="6" borderId="15" applyAlignment="1" pivotButton="0" quotePrefix="0" xfId="0">
      <alignment horizontal="center" vertical="bottom"/>
    </xf>
    <xf numFmtId="0" fontId="0" fillId="6" borderId="16" pivotButton="0" quotePrefix="0" xfId="0"/>
    <xf numFmtId="169" fontId="22" fillId="6" borderId="7" applyAlignment="1" pivotButton="0" quotePrefix="0" xfId="0">
      <alignment horizontal="center" vertical="center"/>
    </xf>
    <xf numFmtId="0" fontId="0" fillId="6" borderId="8" pivotButton="0" quotePrefix="0" xfId="0"/>
    <xf numFmtId="0" fontId="23" fillId="6" borderId="9" applyAlignment="1" pivotButton="0" quotePrefix="0" xfId="0">
      <alignment horizontal="center" vertical="top" wrapText="1"/>
    </xf>
    <xf numFmtId="0" fontId="0" fillId="6" borderId="10" pivotButton="0" quotePrefix="0" xfId="0"/>
    <xf numFmtId="0" fontId="24" fillId="0" borderId="0" pivotButton="0" quotePrefix="0" xfId="0"/>
    <xf numFmtId="0" fontId="9" fillId="5" borderId="0" applyAlignment="1" pivotButton="0" quotePrefix="0" xfId="0">
      <alignment horizontal="center" vertical="center"/>
    </xf>
    <xf numFmtId="169" fontId="25" fillId="6" borderId="9" applyAlignment="1" pivotButton="0" quotePrefix="0" xfId="0">
      <alignment horizontal="center" vertical="center"/>
    </xf>
    <xf numFmtId="0" fontId="26" fillId="2" borderId="0" applyAlignment="1" pivotButton="0" quotePrefix="0" xfId="0">
      <alignment vertical="center" indent="1"/>
    </xf>
    <xf numFmtId="0" fontId="27" fillId="2" borderId="0" applyAlignment="1" pivotButton="0" quotePrefix="0" xfId="0">
      <alignment horizontal="right" vertical="center" indent="1"/>
    </xf>
    <xf numFmtId="0" fontId="28" fillId="3" borderId="17" applyAlignment="1" pivotButton="0" quotePrefix="0" xfId="0">
      <alignment horizontal="center" vertical="center"/>
    </xf>
    <xf numFmtId="0" fontId="0" fillId="3" borderId="17" pivotButton="0" quotePrefix="0" xfId="0"/>
    <xf numFmtId="0" fontId="10" fillId="0" borderId="18" applyAlignment="1" pivotButton="0" quotePrefix="0" xfId="0">
      <alignment horizontal="center" vertical="center" wrapText="1"/>
    </xf>
    <xf numFmtId="0" fontId="0" fillId="0" borderId="18" pivotButton="0" quotePrefix="0" xfId="0"/>
    <xf numFmtId="170" fontId="10" fillId="0" borderId="18" applyAlignment="1" pivotButton="0" quotePrefix="0" xfId="0">
      <alignment horizontal="center" vertical="center" wrapText="1"/>
    </xf>
    <xf numFmtId="0" fontId="10" fillId="0" borderId="18" applyAlignment="1" pivotButton="0" quotePrefix="0" xfId="0">
      <alignment horizontal="left" vertical="center" wrapText="1"/>
    </xf>
    <xf numFmtId="171" fontId="10" fillId="0" borderId="18" applyAlignment="1" pivotButton="0" quotePrefix="0" xfId="0">
      <alignment horizontal="center" vertical="center" wrapText="1"/>
    </xf>
    <xf numFmtId="0" fontId="29" fillId="0" borderId="0" applyAlignment="1" pivotButton="0" quotePrefix="0" xfId="0">
      <alignment vertical="center" indent="1"/>
    </xf>
    <xf numFmtId="0" fontId="3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center"/>
    </xf>
    <xf numFmtId="0" fontId="12" fillId="6" borderId="2" applyAlignment="1" pivotButton="0" quotePrefix="0" xfId="0">
      <alignment horizontal="center" vertical="center"/>
    </xf>
    <xf numFmtId="0" fontId="12" fillId="4" borderId="2" applyAlignment="1" pivotButton="0" quotePrefix="0" xfId="0">
      <alignment horizontal="center" vertical="center"/>
    </xf>
    <xf numFmtId="0" fontId="13" fillId="7" borderId="2" applyAlignment="1" pivotButton="0" quotePrefix="0" xfId="0">
      <alignment horizontal="center" vertical="center"/>
    </xf>
    <xf numFmtId="0" fontId="14" fillId="8" borderId="2" applyAlignment="1" pivotButton="0" quotePrefix="0" xfId="0">
      <alignment horizontal="center" vertical="center"/>
    </xf>
    <xf numFmtId="0" fontId="15" fillId="9" borderId="2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center"/>
    </xf>
    <xf numFmtId="0" fontId="17" fillId="4" borderId="2" applyAlignment="1" pivotButton="0" quotePrefix="0" xfId="0">
      <alignment horizontal="center" vertical="center"/>
    </xf>
    <xf numFmtId="0" fontId="13" fillId="0" borderId="0" pivotButton="0" quotePrefix="0" xfId="0"/>
    <xf numFmtId="0" fontId="18" fillId="2" borderId="3" applyAlignment="1" pivotButton="0" quotePrefix="0" xfId="0">
      <alignment horizontal="center" vertical="center" wrapText="1"/>
    </xf>
    <xf numFmtId="0" fontId="18" fillId="5" borderId="3" applyAlignment="1" pivotButton="0" quotePrefix="0" xfId="0">
      <alignment horizontal="center" vertical="center" wrapText="1"/>
    </xf>
    <xf numFmtId="0" fontId="18" fillId="10" borderId="3" applyAlignment="1" pivotButton="0" quotePrefix="0" xfId="0">
      <alignment horizontal="center" vertical="center" wrapText="1"/>
    </xf>
    <xf numFmtId="49" fontId="10" fillId="0" borderId="2" applyAlignment="1" pivotButton="0" quotePrefix="0" xfId="0">
      <alignment horizontal="left" vertical="top"/>
    </xf>
    <xf numFmtId="0" fontId="10" fillId="4" borderId="2" applyAlignment="1" pivotButton="0" quotePrefix="0" xfId="0">
      <alignment horizontal="left" vertical="top" wrapText="1"/>
    </xf>
    <xf numFmtId="0" fontId="10" fillId="0" borderId="2" applyAlignment="1" pivotButton="0" quotePrefix="0" xfId="0">
      <alignment horizontal="left" vertical="top" wrapText="1"/>
    </xf>
    <xf numFmtId="0" fontId="10" fillId="0" borderId="2" applyAlignment="1" pivotButton="0" quotePrefix="0" xfId="0">
      <alignment horizontal="left" vertical="top"/>
    </xf>
    <xf numFmtId="167" fontId="10" fillId="4" borderId="2" applyAlignment="1" pivotButton="0" quotePrefix="0" xfId="0">
      <alignment horizontal="center" vertical="top"/>
    </xf>
    <xf numFmtId="166" fontId="10" fillId="4" borderId="2" applyAlignment="1" pivotButton="0" quotePrefix="0" xfId="0">
      <alignment horizontal="center" vertical="top"/>
    </xf>
    <xf numFmtId="0" fontId="10" fillId="4" borderId="2" applyAlignment="1" pivotButton="0" quotePrefix="0" xfId="0">
      <alignment horizontal="center" vertical="top"/>
    </xf>
    <xf numFmtId="165" fontId="10" fillId="4" borderId="2" applyAlignment="1" pivotButton="0" quotePrefix="0" xfId="0">
      <alignment horizontal="center" vertical="top"/>
    </xf>
    <xf numFmtId="0" fontId="10" fillId="4" borderId="2" applyAlignment="1" pivotButton="0" quotePrefix="0" xfId="0">
      <alignment horizontal="left" vertical="top"/>
    </xf>
    <xf numFmtId="0" fontId="10" fillId="0" borderId="2" applyAlignment="1" pivotButton="0" quotePrefix="0" xfId="0">
      <alignment horizontal="center" vertical="top"/>
    </xf>
    <xf numFmtId="165" fontId="10" fillId="0" borderId="2" applyAlignment="1" pivotButton="0" quotePrefix="0" xfId="0">
      <alignment horizontal="left" vertical="top"/>
    </xf>
    <xf numFmtId="168" fontId="10" fillId="0" borderId="2" applyAlignment="1" pivotButton="0" quotePrefix="0" xfId="0">
      <alignment horizontal="left" vertical="top"/>
    </xf>
    <xf numFmtId="0" fontId="13" fillId="7" borderId="2" applyAlignment="1" pivotButton="0" quotePrefix="0" xfId="0">
      <alignment horizontal="left" vertical="top"/>
    </xf>
    <xf numFmtId="167" fontId="13" fillId="7" borderId="2" applyAlignment="1" pivotButton="0" quotePrefix="0" xfId="0">
      <alignment horizontal="left" vertical="top"/>
    </xf>
    <xf numFmtId="165" fontId="13" fillId="7" borderId="2" applyAlignment="1" pivotButton="0" quotePrefix="0" xfId="0">
      <alignment horizontal="left" vertical="top"/>
    </xf>
    <xf numFmtId="167" fontId="10" fillId="0" borderId="2" applyAlignment="1" pivotButton="0" quotePrefix="0" xfId="0">
      <alignment horizontal="center" vertical="top"/>
    </xf>
    <xf numFmtId="165" fontId="10" fillId="0" borderId="2" applyAlignment="1" pivotButton="0" quotePrefix="0" xfId="0">
      <alignment horizontal="center" vertical="top"/>
    </xf>
    <xf numFmtId="0" fontId="5" fillId="0" borderId="1" pivotButton="0" quotePrefix="0" xfId="0"/>
    <xf numFmtId="0" fontId="9" fillId="2" borderId="0" applyAlignment="1" pivotButton="0" quotePrefix="0" xfId="0">
      <alignment horizontal="center" vertical="center" wrapText="1"/>
    </xf>
    <xf numFmtId="0" fontId="9" fillId="5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165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0" fontId="10" fillId="0" borderId="2" pivotButton="0" quotePrefix="0" xfId="0"/>
    <xf numFmtId="0" fontId="10" fillId="4" borderId="2" pivotButton="0" quotePrefix="0" xfId="0"/>
    <xf numFmtId="165" fontId="7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166" fontId="7" fillId="0" borderId="2" applyAlignment="1" pivotButton="0" quotePrefix="0" xfId="0">
      <alignment horizontal="center" vertical="center"/>
    </xf>
    <xf numFmtId="0" fontId="8" fillId="0" borderId="0" pivotButton="0" quotePrefix="0" xfId="0"/>
    <xf numFmtId="0" fontId="30" fillId="0" borderId="1" pivotButton="0" quotePrefix="0" xfId="0"/>
    <xf numFmtId="0" fontId="31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color rgb="003E5A00"/>
      </font>
      <fill>
        <patternFill patternType="solid">
          <bgColor rgb="00EEF9D6"/>
        </patternFill>
      </fill>
    </dxf>
    <dxf>
      <font>
        <color rgb="00A12622"/>
      </font>
      <fill>
        <patternFill patternType="solid">
          <bgColor rgb="00FDE2E1"/>
        </patternFill>
      </fill>
    </dxf>
    <dxf>
      <font>
        <color rgb="007A5A00"/>
      </font>
      <fill>
        <patternFill patternType="solid">
          <bgColor rgb="00FFF4CC"/>
        </patternFill>
      </fill>
    </dxf>
    <dxf>
      <font>
        <b val="1"/>
        <color rgb="00A12622"/>
      </font>
      <fill>
        <patternFill patternType="solid">
          <bgColor rgb="00FDE2E1"/>
        </patternFill>
      </fill>
    </dxf>
    <dxf>
      <font>
        <b val="1"/>
        <color rgb="003E5A00"/>
      </font>
      <fill>
        <patternFill patternType="solid">
          <bgColor rgb="00EEF9D6"/>
        </patternFill>
      </fill>
    </dxf>
    <dxf>
      <font>
        <color rgb="008A94A6"/>
      </font>
    </dxf>
    <dxf>
      <font>
        <b val="1"/>
        <color rgb="007A5A00"/>
      </font>
      <fill>
        <patternFill patternType="solid"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blCases" displayName="tblCases" ref="A5:AT54" headerRowCount="1">
  <autoFilter ref="A5:AT54"/>
  <tableColumns count="46">
    <tableColumn id="1" name="案件ID"/>
    <tableColumn id="2" name="顧客ID"/>
    <tableColumn id="3" name="顧客名">
      <calculatedColumnFormula>IF(tblCases[[#This Row],[顧客ID]]="","",IFERROR(INDEX(tblCustomers[会社名],MATCH(tblCases[[#This Row],[顧客ID]],tblCustomers[顧客ID],0))&amp;"","（未登録の顧客ID）"))</calculatedColumnFormula>
    </tableColumn>
    <tableColumn id="4" name="案件名"/>
    <tableColumn id="5" name="社内担当"/>
    <tableColumn id="6" name="営業段階"/>
    <tableColumn id="7" name="追客状態"/>
    <tableColumn id="8" name="注意">
      <calculatedColumnFormula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calculatedColumnFormula>
    </tableColumn>
    <tableColumn id="9" name="最終会話・返信">
      <calculatedColumnFormula>IF(tblCases[[#This Row],[案件ID]]="","",IF(tblCases[[#This Row],[最新会話値]]=0,"なし",tblCases[[#This Row],[最新会話値]]))</calculatedColumnFormula>
    </tableColumn>
    <tableColumn id="10" name="最新接点">
      <calculatedColumnFormula>IF(tblCases[[#This Row],[案件ID]]="","",IF(tblCases[[#This Row],[最新接点値]]=0,"履歴なし",tblCases[[#This Row],[最新接点値]]))</calculatedColumnFormula>
    </tableColumn>
    <tableColumn id="11" name="接点からの日数">
      <calculatedColumnFormula>IF(OR(tblCases[[#This Row],[案件ID]]="",tblCases[[#This Row],[最新接点値]]=0),"",RefDate-INT(tblCases[[#This Row],[最新接点値]]))</calculatedColumnFormula>
    </tableColumn>
    <tableColumn id="12" name="次回対応">
      <calculatedColumnFormula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calculatedColumnFormula>
    </tableColumn>
    <tableColumn id="13" name="次回担当">
      <calculatedColumnFormula>IF(tblCases[[#This Row],[次回行]]="","",INDEX(tblTasks[担当者],tblCases[[#This Row],[次回行]])&amp;"")</calculatedColumnFormula>
    </tableColumn>
    <tableColumn id="14" name="次回期限">
      <calculatedColumnFormula>IF(tblCases[[#This Row],[次回行]]="","",tblCases[[#This Row],[次回期限値]])</calculatedColumnFormula>
    </tableColumn>
    <tableColumn id="15" name="最新履歴の要旨">
      <calculatedColumnFormula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calculatedColumnFormula>
    </tableColumn>
    <tableColumn id="16" name="顧客側担当者ID"/>
    <tableColumn id="17" name="顧客側担当者">
      <calculatedColumnFormula>IF(tblCases[[#This Row],[顧客側担当者ID]]="","",IFERROR(INDEX(tblContacts[氏名],MATCH(tblCases[[#This Row],[顧客側担当者ID]],tblContacts[担当者ID],0))&amp;"","（未登録のID）"))</calculatedColumnFormula>
    </tableColumn>
    <tableColumn id="18" name="見積番号"/>
    <tableColumn id="19" name="見積版"/>
    <tableColumn id="20" name="見積提出日"/>
    <tableColumn id="21" name="見積額（円）"/>
    <tableColumn id="22" name="受注額（円）"/>
    <tableColumn id="23" name="検討理由"/>
    <tableColumn id="24" name="検討時期・合意した連絡時期"/>
    <tableColumn id="25" name="保留・失注理由"/>
    <tableColumn id="26" name="補足"/>
    <tableColumn id="27" name="入力チェック">
      <calculatedColumnFormula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calculatedColumnFormula>
    </tableColumn>
    <tableColumn id="28" name="段階区分">
      <calculatedColumnFormula>IF(tblCases[[#This Row],[営業段階]]="","",IFERROR(INDEX(lst_StageKind,MATCH(tblCases[[#This Row],[営業段階]],lst_Stage,0))&amp;"","候補外"))</calculatedColumnFormula>
    </tableColumn>
    <tableColumn id="29" name="追客区分">
      <calculatedColumnFormula>IF(tblCases[[#This Row],[追客状態]]="","",IFERROR(INDEX(lst_StatusKind,MATCH(tblCases[[#This Row],[追客状態]],lst_Status,0))&amp;"","候補外"))</calculatedColumnFormula>
    </tableColumn>
    <tableColumn id="30" name="連絡停止">
      <calculatedColumnFormula>IF(tblCases[[#This Row],[案件ID]]="",0,IF(OR(tblCases[[#This Row],[追客区分]]="停止",IFERROR(INDEX(tblCustomers[連絡可否],MATCH(tblCases[[#This Row],[顧客ID]],tblCustomers[顧客ID],0))&amp;"","")="停止"),1,0))</calculatedColumnFormula>
    </tableColumn>
    <tableColumn id="31" name="状態区分">
      <calculatedColumnFormula>IF(tblCases[[#This Row],[案件ID]]="","",IF(OR(tblCases[[#This Row],[段階区分]]="終了",tblCases[[#This Row],[追客区分]]="終了"),"終了",IF(tblCases[[#This Row],[連絡停止]]=1,"停止",IF(tblCases[[#This Row],[追客区分]]="待機","待機","進行"))))</calculatedColumnFormula>
    </tableColumn>
    <tableColumn id="32" name="進行中">
      <calculatedColumnFormula>IF(AND(tblCases[[#This Row],[案件ID]]&lt;&gt;"",OR(tblCases[[#This Row],[状態区分]]="進行",tblCases[[#This Row],[状態区分]]="待機")),1,0)</calculatedColumnFormula>
    </tableColumn>
    <tableColumn id="33" name="最新接点値">
      <calculatedColumnFormula>IF(tblCases[[#This Row],[案件ID]]="",0,_xlfn.MAXIFS(tblHistory[実施日時],tblHistory[案件ID],tblCases[[#This Row],[案件ID]],tblHistory[集計対象],1))</calculatedColumnFormula>
    </tableColumn>
    <tableColumn id="34" name="最新会話値">
      <calculatedColumnFormula>IF(tblCases[[#This Row],[案件ID]]="",0,_xlfn.MAXIFS(tblHistory[実施日時],tblHistory[案件ID],tblCases[[#This Row],[案件ID]],tblHistory[集計対象],1,tblHistory[実接点],1))</calculatedColumnFormula>
    </tableColumn>
    <tableColumn id="35" name="最新ID番号">
      <calculatedColumnFormula>IF(tblCases[[#This Row],[最新接点値]]=0,"",_xlfn.MAXIFS(tblHistory[ID番号],tblHistory[案件ID],tblCases[[#This Row],[案件ID]],tblHistory[実施日時],tblCases[[#This Row],[最新接点値]],tblHistory[集計対象],1))</calculatedColumnFormula>
    </tableColumn>
    <tableColumn id="36" name="最新履歴行">
      <calculatedColumnFormula>IF(N(tblCases[[#This Row],[最新ID番号]])=0,"",IFERROR(MATCH(tblCases[[#This Row],[案件ID]]&amp;"|"&amp;tblCases[[#This Row],[最新ID番号]],tblHistory[照合キー],0),""))</calculatedColumnFormula>
    </tableColumn>
    <tableColumn id="37" name="次回期限値">
      <calculatedColumnFormula>IF(tblCases[[#This Row],[案件ID]]="",0,_xlfn.MINIFS(tblTasks[期限日],tblTasks[案件ID],tblCases[[#This Row],[案件ID]],tblTasks[次回候補],1))</calculatedColumnFormula>
    </tableColumn>
    <tableColumn id="38" name="次回ID番号">
      <calculatedColumnFormula>IF(tblCases[[#This Row],[次回期限値]]=0,"",_xlfn.MINIFS(tblTasks[ID番号],tblTasks[案件ID],tblCases[[#This Row],[案件ID]],tblTasks[期限日],tblCases[[#This Row],[次回期限値]],tblTasks[次回候補],1))</calculatedColumnFormula>
    </tableColumn>
    <tableColumn id="39" name="次回行">
      <calculatedColumnFormula>IF(N(tblCases[[#This Row],[次回ID番号]])=0,"",IFERROR(MATCH(tblCases[[#This Row],[案件ID]]&amp;"|"&amp;tblCases[[#This Row],[次回ID番号]],tblTasks[照合キー],0),""))</calculatedColumnFormula>
    </tableColumn>
    <tableColumn id="40" name="期限なし数">
      <calculatedColumnFormula>IF(tblCases[[#This Row],[案件ID]]="",0,COUNTIFS(tblTasks[案件ID],tblCases[[#This Row],[案件ID]],tblTasks[表示区分],"期限未設定"))</calculatedColumnFormula>
    </tableColumn>
    <tableColumn id="41" name="社内確認残">
      <calculatedColumnFormula>IF(tblCases[[#This Row],[案件ID]]="",0,COUNTIFS(tblTasks[案件ID],tblCases[[#This Row],[案件ID]],tblTasks[未完了],1,tblTasks[区分],"社内確認"))</calculatedColumnFormula>
    </tableColumn>
    <tableColumn id="42" name="担当一致">
      <calculatedColumnFormula>IF(OR(HomeStaff="",HomeStaff="全員",HomeStaff=tblCases[[#This Row],[社内担当]]),1,0)</calculatedColumnFormula>
    </tableColumn>
    <tableColumn id="43" name="未設定対象">
      <calculatedColumnFormula>IF(AND(tblCases[[#This Row],[進行中]]=1,tblCases[[#This Row],[次回期限値]]=0,tblCases[[#This Row],[担当一致]]=1),1,0)</calculatedColumnFormula>
    </tableColumn>
    <tableColumn id="44" name="並びキー">
      <calculatedColumnFormula>INT(N(tblCases[[#This Row],[最新接点値]]))*100000+N(tblCases[[#This Row],[ID番号]])</calculatedColumnFormula>
    </tableColumn>
    <tableColumn id="45" name="未設定順位">
      <calculatedColumnFormula>IF(tblCases[[#This Row],[未設定対象]]=1,COUNTIFS(tblCases[未設定対象],1,tblCases[並びキー],"&lt;"&amp;tblCases[[#This Row],[並びキー]])+1,"")</calculatedColumnFormula>
    </tableColumn>
    <tableColumn id="46" name="ID番号">
      <calculatedColumnFormula>IFERROR(VALUE(MID(tblCases[[#This Row],[案件ID]],2,20)),"")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History" displayName="tblHistory" ref="A5:R104" headerRowCount="1">
  <autoFilter ref="A5:R104"/>
  <tableColumns count="18">
    <tableColumn id="1" name="履歴ID"/>
    <tableColumn id="2" name="案件ID"/>
    <tableColumn id="3" name="顧客名">
      <calculatedColumnFormula>IF(tblHistory[[#This Row],[案件ID]]="","",IFERROR(INDEX(tblCases[顧客名],MATCH(tblHistory[[#This Row],[案件ID]],tblCases[案件ID],0))&amp;"","（未登録の案件ID）"))</calculatedColumnFormula>
    </tableColumn>
    <tableColumn id="4" name="案件名">
      <calculatedColumnFormula>IF(tblHistory[[#This Row],[案件ID]]="","",IFERROR(INDEX(tblCases[案件名],MATCH(tblHistory[[#This Row],[案件ID]],tblCases[案件ID],0))&amp;"",""))</calculatedColumnFormula>
    </tableColumn>
    <tableColumn id="5" name="実施日時"/>
    <tableColumn id="6" name="チャネル"/>
    <tableColumn id="7" name="方向"/>
    <tableColumn id="8" name="結果"/>
    <tableColumn id="9" name="会話・返信">
      <calculatedColumnFormula>IF(tblHistory[[#This Row],[結果]]="","",IF(tblHistory[[#This Row],[実接点]]=1,"○","—"))</calculatedColumnFormula>
    </tableColumn>
    <tableColumn id="10" name="記録者"/>
    <tableColumn id="11" name="内容"/>
    <tableColumn id="12" name="顧客発言"/>
    <tableColumn id="13" name="社内メモ"/>
    <tableColumn id="14" name="入力チェック">
      <calculatedColumnFormula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calculatedColumnFormula>
    </tableColumn>
    <tableColumn id="15" name="ID番号">
      <calculatedColumnFormula>IFERROR(VALUE(MID(tblHistory[[#This Row],[履歴ID]],2,20)),"")</calculatedColumnFormula>
    </tableColumn>
    <tableColumn id="16" name="照合キー">
      <calculatedColumnFormula>tblHistory[[#This Row],[案件ID]]&amp;"|"&amp;tblHistory[[#This Row],[ID番号]]</calculatedColumnFormula>
    </tableColumn>
    <tableColumn id="17" name="実接点">
      <calculatedColumnFormula>IF(tblHistory[[#This Row],[結果]]="",0,IFERROR(IF(INDEX(lst_ResultReal,MATCH(tblHistory[[#This Row],[結果]],lst_Result,0))=1,1,0),0))</calculatedColumnFormula>
    </tableColumn>
    <tableColumn id="18" name="集計対象">
      <calculatedColumnFormula>IF(AND(tblHistory[[#This Row],[案件ID]]&lt;&gt;"",ISNUMBER(tblHistory[[#This Row],[実施日時]]),COUNTIF(tblCases[案件ID],tblHistory[[#This Row],[案件ID]])&gt;0),IF(tblHistory[[#This Row],[実施日時]]&lt;RefDate+1,1,0),0)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Tasks" displayName="tblTasks" ref="A5:AC104" headerRowCount="1">
  <autoFilter ref="A5:AC104"/>
  <tableColumns count="29">
    <tableColumn id="1" name="タスクID"/>
    <tableColumn id="2" name="案件ID"/>
    <tableColumn id="3" name="顧客名">
      <calculatedColumnFormula>IF(tblTasks[[#This Row],[案件ID]]="","",IF(tblTasks[[#This Row],[案件行]]="","（未登録の案件ID）",INDEX(tblCases[顧客名],tblTasks[[#This Row],[案件行]])&amp;""))</calculatedColumnFormula>
    </tableColumn>
    <tableColumn id="4" name="案件名">
      <calculatedColumnFormula>IF(tblTasks[[#This Row],[案件行]]="","",INDEX(tblCases[案件名],tblTasks[[#This Row],[案件行]])&amp;"")</calculatedColumnFormula>
    </tableColumn>
    <tableColumn id="5" name="区分"/>
    <tableColumn id="6" name="内容"/>
    <tableColumn id="7" name="期限日"/>
    <tableColumn id="8" name="担当者"/>
    <tableColumn id="9" name="状態"/>
    <tableColumn id="10" name="表示区分">
      <calculatedColumnFormula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calculatedColumnFormula>
    </tableColumn>
    <tableColumn id="11" name="完了日"/>
    <tableColumn id="12" name="補足"/>
    <tableColumn id="13" name="入力チェック">
      <calculatedColumnFormula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calculatedColumnFormula>
    </tableColumn>
    <tableColumn id="14" name="ID番号">
      <calculatedColumnFormula>IFERROR(VALUE(MID(tblTasks[[#This Row],[タスクID]],2,20)),"")</calculatedColumnFormula>
    </tableColumn>
    <tableColumn id="15" name="照合キー">
      <calculatedColumnFormula>tblTasks[[#This Row],[案件ID]]&amp;"|"&amp;tblTasks[[#This Row],[ID番号]]</calculatedColumnFormula>
    </tableColumn>
    <tableColumn id="16" name="案件行">
      <calculatedColumnFormula>IF(tblTasks[[#This Row],[案件ID]]="","",IFERROR(MATCH(tblTasks[[#This Row],[案件ID]],tblCases[案件ID],0),""))</calculatedColumnFormula>
    </tableColumn>
    <tableColumn id="17" name="連絡停止">
      <calculatedColumnFormula>IF(tblTasks[[#This Row],[案件行]]="",0,INDEX(tblCases[連絡停止],tblTasks[[#This Row],[案件行]]))</calculatedColumnFormula>
    </tableColumn>
    <tableColumn id="18" name="案件状態区分">
      <calculatedColumnFormula>IF(tblTasks[[#This Row],[案件行]]="","",INDEX(tblCases[状態区分],tblTasks[[#This Row],[案件行]])&amp;"")</calculatedColumnFormula>
    </tableColumn>
    <tableColumn id="19" name="未完了">
      <calculatedColumnFormula>IF(AND(tblTasks[[#This Row],[タスクID]]&lt;&gt;"",OR(tblTasks[[#This Row],[状態]]="未着手",tblTasks[[#This Row],[状態]]="対応中")),1,0)</calculatedColumnFormula>
    </tableColumn>
    <tableColumn id="20" name="重大エラー">
      <calculatedColumnFormula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calculatedColumnFormula>
    </tableColumn>
    <tableColumn id="21" name="次回候補">
      <calculatedColumnFormula>IF(AND(tblTasks[[#This Row],[未完了]]=1,tblTasks[[#This Row],[重大エラー]]=0,ISNUMBER(tblTasks[[#This Row],[期限日]]),NOT(AND(tblTasks[[#This Row],[区分]]="顧客への連絡",tblTasks[[#This Row],[連絡停止]]=1))),1,0)</calculatedColumnFormula>
    </tableColumn>
    <tableColumn id="22" name="担当一致">
      <calculatedColumnFormula>IF(OR(HomeStaff="",HomeStaff="全員",HomeStaff=tblTasks[[#This Row],[担当者]]),1,0)</calculatedColumnFormula>
    </tableColumn>
    <tableColumn id="23" name="並びキー">
      <calculatedColumnFormula>IF(ISNUMBER(tblTasks[[#This Row],[期限日]]),INT(tblTasks[[#This Row],[期限日]]),99999)*100000+N(tblTasks[[#This Row],[ID番号]])</calculatedColumnFormula>
    </tableColumn>
    <tableColumn id="24" name="一覧1対象">
      <calculatedColumnFormula>IF(AND(OR(tblTasks[[#This Row],[表示区分]]="期限超過",tblTasks[[#This Row],[表示区分]]="本日"),tblTasks[[#This Row],[担当一致]]=1),1,0)</calculatedColumnFormula>
    </tableColumn>
    <tableColumn id="25" name="一覧1順位">
      <calculatedColumnFormula>IF(tblTasks[[#This Row],[一覧1対象]]=1,COUNTIFS(tblTasks[一覧1対象],1,tblTasks[並びキー],"&lt;"&amp;tblTasks[[#This Row],[並びキー]])+1,"")</calculatedColumnFormula>
    </tableColumn>
    <tableColumn id="26" name="一覧3対象">
      <calculatedColumnFormula>IF(AND(OR(tblTasks[[#This Row],[表示区分]]="期限未設定",tblTasks[[#This Row],[表示区分]]="連絡停止中",tblTasks[[#This Row],[表示区分]]="終了案件",tblTasks[[#This Row],[表示区分]]="入力要確認"),tblTasks[[#This Row],[担当一致]]=1),1,0)</calculatedColumnFormula>
    </tableColumn>
    <tableColumn id="27" name="一覧3順位">
      <calculatedColumnFormula>IF(tblTasks[[#This Row],[一覧3対象]]=1,COUNTIFS(tblTasks[一覧3対象],1,tblTasks[並びキー],"&lt;"&amp;tblTasks[[#This Row],[並びキー]])+1,"")</calculatedColumnFormula>
    </tableColumn>
    <tableColumn id="28" name="一覧4対象">
      <calculatedColumnFormula>IF(AND(tblTasks[[#This Row],[表示区分]]="今後",INT(N(tblTasks[[#This Row],[期限日]]))&lt;=RefDate+UpcomingDays,tblTasks[[#This Row],[担当一致]]=1),1,0)</calculatedColumnFormula>
    </tableColumn>
    <tableColumn id="29" name="一覧4順位">
      <calculatedColumnFormula>IF(tblTasks[[#This Row],[一覧4対象]]=1,COUNTIFS(tblTasks[一覧4対象],1,tblTasks[並びキー],"&lt;"&amp;tblTasks[[#This Row],[並びキー]])+1,"")</calculatedColumnFormula>
    </tableColumn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blCustomers" displayName="tblCustomers" ref="A5:Q34" headerRowCount="1">
  <autoFilter ref="A5:Q34"/>
  <tableColumns count="17">
    <tableColumn id="1" name="顧客ID"/>
    <tableColumn id="2" name="会社名"/>
    <tableColumn id="3" name="業種"/>
    <tableColumn id="4" name="所在地"/>
    <tableColumn id="5" name="代表電話"/>
    <tableColumn id="6" name="代表メール"/>
    <tableColumn id="7" name="顧客側主担当ID"/>
    <tableColumn id="8" name="顧客側主担当">
      <calculatedColumnFormula>IF(tblCustomers[[#This Row],[顧客側主担当ID]]="","",IFERROR(INDEX(tblContacts[氏名],MATCH(tblCustomers[[#This Row],[顧客側主担当ID]],tblContacts[担当者ID],0))&amp;"","（未登録のID）"))</calculatedColumnFormula>
    </tableColumn>
    <tableColumn id="9" name="社内主担当"/>
    <tableColumn id="10" name="連絡可否"/>
    <tableColumn id="11" name="連絡停止日"/>
    <tableColumn id="12" name="連絡停止理由"/>
    <tableColumn id="13" name="補足"/>
    <tableColumn id="14" name="案件数">
      <calculatedColumnFormula>IF(tblCustomers[[#This Row],[顧客ID]]="","",COUNTIFS(tblCases[顧客ID],tblCustomers[[#This Row],[顧客ID]]))</calculatedColumnFormula>
    </tableColumn>
    <tableColumn id="15" name="進行中の案件">
      <calculatedColumnFormula>IF(tblCustomers[[#This Row],[顧客ID]]="","",COUNTIFS(tblCases[顧客ID],tblCustomers[[#This Row],[顧客ID]],tblCases[進行中],1))</calculatedColumnFormula>
    </tableColumn>
    <tableColumn id="16" name="入力チェック">
      <calculatedColumnFormula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calculatedColumnFormula>
    </tableColumn>
    <tableColumn id="17" name="ID番号">
      <calculatedColumnFormula>IFERROR(VALUE(MID(tblCustomers[[#This Row],[顧客ID]],2,20)),"")</calculatedColumnFormula>
    </tableColumn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blContacts" displayName="tblContacts" ref="A5:L34" headerRowCount="1">
  <autoFilter ref="A5:L34"/>
  <tableColumns count="12">
    <tableColumn id="1" name="担当者ID"/>
    <tableColumn id="2" name="顧客ID"/>
    <tableColumn id="3" name="会社名">
      <calculatedColumnFormula>IF(tblContacts[[#This Row],[顧客ID]]="","",IFERROR(INDEX(tblCustomers[会社名],MATCH(tblContacts[[#This Row],[顧客ID]],tblCustomers[顧客ID],0))&amp;"","（未登録の顧客ID）"))</calculatedColumnFormula>
    </tableColumn>
    <tableColumn id="4" name="氏名"/>
    <tableColumn id="5" name="部署"/>
    <tableColumn id="6" name="役職"/>
    <tableColumn id="7" name="電話"/>
    <tableColumn id="8" name="メール"/>
    <tableColumn id="9" name="連絡可否"/>
    <tableColumn id="10" name="補足"/>
    <tableColumn id="11" name="入力チェック">
      <calculatedColumnFormula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calculatedColumnFormula>
    </tableColumn>
    <tableColumn id="12" name="ID番号">
      <calculatedColumnFormula>IFERROR(VALUE(MID(tblContacts[[#This Row],[担当者ID]],2,20)),"")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S7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  <col width="8.800000000000001" customWidth="1" min="17" max="17"/>
    <col hidden="1" width="6" customWidth="1" min="18" max="18"/>
    <col hidden="1" width="6" customWidth="1" min="19" max="19"/>
  </cols>
  <sheetData>
    <row r="1" ht="30" customHeight="1">
      <c r="A1" s="1" t="inlineStr">
        <is>
          <t>顧客管理・追客CRM　ホーム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テンプレート v1.0</t>
        </is>
      </c>
    </row>
    <row r="2" ht="20" customHeight="1">
      <c r="A2" s="4" t="inlineStr">
        <is>
          <t>今日やること・期限超過・次回対応の未設定を確認し、各シートで更新します。この画面は表示専用です。</t>
        </is>
      </c>
    </row>
    <row r="3" ht="22" customHeight="1">
      <c r="B3" s="5" t="inlineStr">
        <is>
          <t>▶ 案件一覧</t>
        </is>
      </c>
      <c r="D3" s="5" t="inlineStr">
        <is>
          <t>▶ 連絡履歴</t>
        </is>
      </c>
      <c r="F3" s="5" t="inlineStr">
        <is>
          <t>▶ 対応タスク</t>
        </is>
      </c>
      <c r="H3" s="5" t="inlineStr">
        <is>
          <t>▶ 顧客マスター</t>
        </is>
      </c>
      <c r="J3" s="5" t="inlineStr">
        <is>
          <t>▶ 担当者マスター</t>
        </is>
      </c>
      <c r="L3" s="5" t="inlineStr">
        <is>
          <t>▶ 設定</t>
        </is>
      </c>
      <c r="N3" s="5" t="inlineStr">
        <is>
          <t>▶ 使い方</t>
        </is>
      </c>
    </row>
    <row r="4" ht="6" customHeight="1"/>
    <row r="5" ht="26" customHeight="1">
      <c r="B5" s="6" t="inlineStr">
        <is>
          <t>基準日</t>
        </is>
      </c>
      <c r="C5" s="7">
        <f>RefDate</f>
        <v>46292.0</v>
      </c>
      <c r="E5" s="8" t="str">
        <f>IF(RefDateInput="","今日の日付を使用中","指定日を使用中（07_設定で変更）")</f>
        <v>今日の日付を使用中</v>
      </c>
      <c r="I5" s="6" t="inlineStr">
        <is>
          <t>担当者</t>
        </is>
      </c>
      <c r="J5" s="9" t="inlineStr">
        <is>
          <t>全員</t>
        </is>
      </c>
      <c r="L5" s="8" t="inlineStr">
        <is>
          <t>◀ ▼で担当者を選ぶと、下の件数と一覧が絞り込まれます（入力欄はここだけ）</t>
        </is>
      </c>
    </row>
    <row r="6" ht="28" customHeight="1">
      <c r="B6" s="10" t="str">
        <f>"集計対象：担当＝"&amp;IF(OR(HomeStaff="",HomeStaff="全員"),"全員",HomeStaff)&amp;"／基準日＝"&amp;TEXT(RefDate,"yyyy/mm/dd")&amp;"／進行中＝営業段階が受注・失注・辞退以外で、追客状態が完了・連絡停止以外かつ顧客が連絡停止でない案件（検討時期待ち・保留を含む）"</f>
        <v>集計対象：担当＝全員／基準日＝2026/09/27／進行中＝営業段階が受注・失注・辞退以外で、追客状態が完了・連絡停止以外かつ顧客が連絡停止でない案件（検討時期待ち・保留を含む）</v>
      </c>
    </row>
    <row r="7" ht="6" customHeight="1"/>
    <row r="8" ht="20" customHeight="1">
      <c r="B8" s="11" t="inlineStr">
        <is>
          <t>進行中の案件</t>
        </is>
      </c>
      <c r="C8" s="12" t="n"/>
      <c r="D8" s="13" t="inlineStr">
        <is>
          <t>本日対応</t>
        </is>
      </c>
      <c r="E8" s="14" t="n"/>
      <c r="F8" s="15" t="inlineStr">
        <is>
          <t>期限超過</t>
        </is>
      </c>
      <c r="G8" s="16" t="n"/>
      <c r="H8" s="17" t="inlineStr">
        <is>
          <t>次回対応未設定</t>
        </is>
      </c>
      <c r="I8" s="18" t="n"/>
      <c r="J8" s="11" t="inlineStr">
        <is>
          <t>検討時期待ち・保留</t>
        </is>
      </c>
      <c r="K8" s="12" t="n"/>
      <c r="L8" s="11" t="inlineStr">
        <is>
          <t>今後の予定</t>
        </is>
      </c>
      <c r="M8" s="12" t="n"/>
      <c r="N8" s="11" t="inlineStr">
        <is>
          <t>連絡停止中</t>
        </is>
      </c>
      <c r="O8" s="12" t="n"/>
      <c r="P8" s="17" t="inlineStr">
        <is>
          <t>入力要確認</t>
        </is>
      </c>
      <c r="Q8" s="18" t="n"/>
    </row>
    <row r="9" ht="38" customHeight="1">
      <c r="B9" s="19">
        <f>COUNTIFS(tblCases[進行中],1,tblCases[担当一致],1)</f>
        <v>0</v>
      </c>
      <c r="C9" s="20" t="n"/>
      <c r="D9" s="19">
        <f>COUNTIFS(tblTasks[表示区分],"本日",tblTasks[担当一致],1)</f>
        <v>0</v>
      </c>
      <c r="E9" s="20" t="n"/>
      <c r="F9" s="19">
        <f>COUNTIFS(tblTasks[表示区分],"期限超過",tblTasks[担当一致],1)</f>
        <v>0</v>
      </c>
      <c r="G9" s="20" t="n"/>
      <c r="H9" s="19">
        <f>COUNTIF(tblCases[未設定対象],1)</f>
        <v>0</v>
      </c>
      <c r="I9" s="20" t="n"/>
      <c r="J9" s="19">
        <f>COUNTIFS(tblCases[状態区分],"待機",tblCases[担当一致],1)</f>
        <v>0</v>
      </c>
      <c r="K9" s="20" t="n"/>
      <c r="L9" s="19">
        <f>COUNTIF(tblTasks[一覧4対象],1)</f>
        <v>0</v>
      </c>
      <c r="M9" s="20" t="n"/>
      <c r="N9" s="19">
        <f>COUNTIFS(tblCases[状態区分],"停止",tblCases[担当一致],1)</f>
        <v>0</v>
      </c>
      <c r="O9" s="20" t="n"/>
      <c r="P9" s="19">
        <f>COUNTIF(tblCustomers[入力チェック],"?*")+COUNTIF(tblContacts[入力チェック],"?*")+COUNTIF(tblCases[入力チェック],"?*")+COUNTIF(tblHistory[入力チェック],"?*")+COUNTIF(tblTasks[入力チェック],"?*")</f>
        <v>0</v>
      </c>
      <c r="Q9" s="20" t="n"/>
    </row>
    <row r="10" ht="28" customHeight="1">
      <c r="B10" s="21" t="inlineStr">
        <is>
          <t>受注前で追客中（待機含む）</t>
        </is>
      </c>
      <c r="C10" s="22" t="n"/>
      <c r="D10" s="21" t="inlineStr">
        <is>
          <t>今日が期限のタスク</t>
        </is>
      </c>
      <c r="E10" s="22" t="n"/>
      <c r="F10" s="21" t="inlineStr">
        <is>
          <t>期限を過ぎた未完了タスク</t>
        </is>
      </c>
      <c r="G10" s="22" t="n"/>
      <c r="H10" s="21" t="inlineStr">
        <is>
          <t>期限つきの次の対応がない進行中案件</t>
        </is>
      </c>
      <c r="I10" s="22" t="n"/>
      <c r="J10" s="21" t="inlineStr">
        <is>
          <t>待機中（社内確認日をタスクで管理）</t>
        </is>
      </c>
      <c r="K10" s="22" t="n"/>
      <c r="L10" s="21" t="str">
        <f>"翌日〜"&amp;UpcomingDays&amp;"日後が期限"</f>
        <v>翌日〜7日後が期限</v>
      </c>
      <c r="M10" s="22" t="n"/>
      <c r="N10" s="21" t="inlineStr">
        <is>
          <t>顧客・案件の停止で追客対象外</t>
        </is>
      </c>
      <c r="O10" s="22" t="n"/>
      <c r="P10" s="21" t="inlineStr">
        <is>
          <t>全シートの入力チェック（絞込なし）</t>
        </is>
      </c>
      <c r="Q10" s="22" t="n"/>
    </row>
    <row r="11" ht="8" customHeight="1"/>
    <row r="12" ht="20" customHeight="1">
      <c r="B12" s="23" t="inlineStr">
        <is>
          <t>営業段階別の案件数（全案件・担当者の絞り込みを反映）</t>
        </is>
      </c>
    </row>
    <row r="13" ht="20" customHeight="1">
      <c r="B13" s="24" t="str">
        <f>INDEX(lst_Stage,1)&amp;""</f>
        <v>未接触</v>
      </c>
      <c r="D13" s="24" t="str">
        <f>INDEX(lst_Stage,2)&amp;""</f>
        <v>初回接点</v>
      </c>
      <c r="F13" s="24" t="str">
        <f>INDEX(lst_Stage,3)&amp;""</f>
        <v>ヒアリング</v>
      </c>
      <c r="H13" s="24" t="str">
        <f>INDEX(lst_Stage,4)&amp;""</f>
        <v>提案・見積</v>
      </c>
      <c r="J13" s="24" t="str">
        <f>INDEX(lst_Stage,5)&amp;""</f>
        <v>条件調整</v>
      </c>
      <c r="L13" s="24" t="str">
        <f>INDEX(lst_Stage,6)&amp;""</f>
        <v>受注</v>
      </c>
      <c r="N13" s="24" t="str">
        <f>INDEX(lst_Stage,7)&amp;""</f>
        <v>失注</v>
      </c>
      <c r="P13" s="24" t="str">
        <f>INDEX(lst_Stage,8)&amp;""</f>
        <v>辞退</v>
      </c>
    </row>
    <row r="14" ht="26" customHeight="1">
      <c r="B14" s="25">
        <f>IF(B13="","",COUNTIFS(tblCases[営業段階],B13,tblCases[担当一致],1))</f>
        <v>0</v>
      </c>
      <c r="C14" s="22" t="n"/>
      <c r="D14" s="25">
        <f>IF(D13="","",COUNTIFS(tblCases[営業段階],D13,tblCases[担当一致],1))</f>
        <v>0</v>
      </c>
      <c r="E14" s="22" t="n"/>
      <c r="F14" s="25">
        <f>IF(F13="","",COUNTIFS(tblCases[営業段階],F13,tblCases[担当一致],1))</f>
        <v>0</v>
      </c>
      <c r="G14" s="22" t="n"/>
      <c r="H14" s="25">
        <f>IF(H13="","",COUNTIFS(tblCases[営業段階],H13,tblCases[担当一致],1))</f>
        <v>0</v>
      </c>
      <c r="I14" s="22" t="n"/>
      <c r="J14" s="25">
        <f>IF(J13="","",COUNTIFS(tblCases[営業段階],J13,tblCases[担当一致],1))</f>
        <v>0</v>
      </c>
      <c r="K14" s="22" t="n"/>
      <c r="L14" s="25">
        <f>IF(L13="","",COUNTIFS(tblCases[営業段階],L13,tblCases[担当一致],1))</f>
        <v>0</v>
      </c>
      <c r="M14" s="22" t="n"/>
      <c r="N14" s="25">
        <f>IF(N13="","",COUNTIFS(tblCases[営業段階],N13,tblCases[担当一致],1))</f>
        <v>0</v>
      </c>
      <c r="O14" s="22" t="n"/>
      <c r="P14" s="25">
        <f>IF(P13="","",COUNTIFS(tblCases[営業段階],P13,tblCases[担当一致],1))</f>
        <v>0</v>
      </c>
      <c r="Q14" s="22" t="n"/>
    </row>
    <row r="15" ht="10" customHeight="1"/>
    <row r="16" ht="24" customHeight="1">
      <c r="B16" s="26" t="inlineStr">
        <is>
          <t>① 今日やること　—　期限超過・本日が期限のタスク</t>
        </is>
      </c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7" t="str">
        <f>"表示 "&amp;MIN(15,COUNTIF(tblTasks[一覧1対象],1))&amp;" 件／対象 "&amp;COUNTIF(tblTasks[一覧1対象],1)&amp;" 件"</f>
        <v>表示 0 件／対象 0 件</v>
      </c>
    </row>
    <row r="17" ht="20" customHeight="1">
      <c r="B17" s="28" t="inlineStr">
        <is>
          <t>注意</t>
        </is>
      </c>
      <c r="C17" s="29" t="n"/>
      <c r="D17" s="28" t="inlineStr">
        <is>
          <t>期限</t>
        </is>
      </c>
      <c r="E17" s="28" t="inlineStr">
        <is>
          <t>会社</t>
        </is>
      </c>
      <c r="F17" s="29" t="n"/>
      <c r="G17" s="28" t="inlineStr">
        <is>
          <t>案件</t>
        </is>
      </c>
      <c r="H17" s="29" t="n"/>
      <c r="I17" s="28" t="inlineStr">
        <is>
          <t>次のアクション</t>
        </is>
      </c>
      <c r="J17" s="29" t="n"/>
      <c r="K17" s="29" t="n"/>
      <c r="L17" s="29" t="n"/>
      <c r="M17" s="28" t="inlineStr">
        <is>
          <t>担当</t>
        </is>
      </c>
      <c r="N17" s="28" t="inlineStr">
        <is>
          <t>案件の状態</t>
        </is>
      </c>
      <c r="O17" s="29" t="n"/>
      <c r="P17" s="28" t="inlineStr">
        <is>
          <t>最終会話・返信</t>
        </is>
      </c>
      <c r="Q17" s="29" t="n"/>
    </row>
    <row r="18" ht="30" customHeight="1">
      <c r="B18" s="30" t="str">
        <f>IF($R18="","",IF(INDEX(tblTasks[表示区分],$R18)="本日","本日","期限超過 "&amp;(RefDate-INT(INDEX(tblTasks[期限日],$R18)))&amp;"日"))</f>
        <v/>
      </c>
      <c r="C18" s="31" t="n"/>
      <c r="D18" s="32" t="str">
        <f>IF($R18="","",INDEX(tblTasks[期限日],$R18))</f>
        <v/>
      </c>
      <c r="E18" s="33" t="str">
        <f>IF($R18="","",INDEX(tblTasks[顧客名],$R18)&amp;"")</f>
        <v/>
      </c>
      <c r="F18" s="31" t="n"/>
      <c r="G18" s="33" t="str">
        <f>IF($R18="","",INDEX(tblTasks[案件名],$R18)&amp;"")</f>
        <v/>
      </c>
      <c r="H18" s="31" t="n"/>
      <c r="I18" s="33" t="str">
        <f>IF($R18="",IF(COUNTIF(tblTasks[一覧1対象],1)=0,IF(COUNTIF(tblTasks[タスクID],"?*")=0,"タスク未登録：04_対応タスクに登録すると表示されます","該当なし（期限超過・本日期限のタスクはありません）"),""),IF(INDEX(tblTasks[区分],$R18)="社内確認","社内：","連絡：")&amp;INDEX(tblTasks[内容],$R18))</f>
        <v>タスク未登録：04_対応タスクに登録すると表示されます</v>
      </c>
      <c r="J18" s="31" t="n"/>
      <c r="K18" s="31" t="n"/>
      <c r="L18" s="31" t="n"/>
      <c r="M18" s="30" t="str">
        <f>IF($R18="","",INDEX(tblTasks[担当者],$R18)&amp;"")</f>
        <v/>
      </c>
      <c r="N18" s="33" t="str">
        <f>IF($R18="","",IF($S18="","",INDEX(tblCases[営業段階],$S18)&amp;"・"&amp;INDEX(tblCases[追客状態],$S18)))</f>
        <v/>
      </c>
      <c r="O18" s="31" t="n"/>
      <c r="P18" s="34" t="str">
        <f>IF($R18="","",IF($S18="","",INDEX(tblCases[最終会話・返信],$S18)))</f>
        <v/>
      </c>
      <c r="Q18" s="31" t="n"/>
      <c r="R18" t="str">
        <f>IF(1&gt;COUNTIF(tblTasks[一覧1対象],1),"",IFERROR(MATCH(1,tblTasks[一覧1順位],0),""))</f>
        <v/>
      </c>
      <c r="S18" t="str">
        <f>IF($R18="","",IFERROR(MATCH(INDEX(tblTasks[案件ID],$R18),tblCases[案件ID],0),""))</f>
        <v/>
      </c>
    </row>
    <row r="19" ht="30" customHeight="1">
      <c r="B19" s="30" t="str">
        <f>IF($R19="","",IF(INDEX(tblTasks[表示区分],$R19)="本日","本日","期限超過 "&amp;(RefDate-INT(INDEX(tblTasks[期限日],$R19)))&amp;"日"))</f>
        <v/>
      </c>
      <c r="C19" s="31" t="n"/>
      <c r="D19" s="32" t="str">
        <f>IF($R19="","",INDEX(tblTasks[期限日],$R19))</f>
        <v/>
      </c>
      <c r="E19" s="33" t="str">
        <f>IF($R19="","",INDEX(tblTasks[顧客名],$R19)&amp;"")</f>
        <v/>
      </c>
      <c r="F19" s="31" t="n"/>
      <c r="G19" s="33" t="str">
        <f>IF($R19="","",INDEX(tblTasks[案件名],$R19)&amp;"")</f>
        <v/>
      </c>
      <c r="H19" s="31" t="n"/>
      <c r="I19" s="33" t="str">
        <f>IF($R19="","",IF(INDEX(tblTasks[区分],$R19)="社内確認","社内：","連絡：")&amp;INDEX(tblTasks[内容],$R19))</f>
        <v/>
      </c>
      <c r="J19" s="31" t="n"/>
      <c r="K19" s="31" t="n"/>
      <c r="L19" s="31" t="n"/>
      <c r="M19" s="30" t="str">
        <f>IF($R19="","",INDEX(tblTasks[担当者],$R19)&amp;"")</f>
        <v/>
      </c>
      <c r="N19" s="33" t="str">
        <f>IF($R19="","",IF($S19="","",INDEX(tblCases[営業段階],$S19)&amp;"・"&amp;INDEX(tblCases[追客状態],$S19)))</f>
        <v/>
      </c>
      <c r="O19" s="31" t="n"/>
      <c r="P19" s="34" t="str">
        <f>IF($R19="","",IF($S19="","",INDEX(tblCases[最終会話・返信],$S19)))</f>
        <v/>
      </c>
      <c r="Q19" s="31" t="n"/>
      <c r="R19" t="str">
        <f>IF(2&gt;COUNTIF(tblTasks[一覧1対象],1),"",IFERROR(MATCH(2,tblTasks[一覧1順位],0),""))</f>
        <v/>
      </c>
      <c r="S19" t="str">
        <f>IF($R19="","",IFERROR(MATCH(INDEX(tblTasks[案件ID],$R19),tblCases[案件ID],0),""))</f>
        <v/>
      </c>
    </row>
    <row r="20" ht="30" customHeight="1">
      <c r="B20" s="30" t="str">
        <f>IF($R20="","",IF(INDEX(tblTasks[表示区分],$R20)="本日","本日","期限超過 "&amp;(RefDate-INT(INDEX(tblTasks[期限日],$R20)))&amp;"日"))</f>
        <v/>
      </c>
      <c r="C20" s="31" t="n"/>
      <c r="D20" s="32" t="str">
        <f>IF($R20="","",INDEX(tblTasks[期限日],$R20))</f>
        <v/>
      </c>
      <c r="E20" s="33" t="str">
        <f>IF($R20="","",INDEX(tblTasks[顧客名],$R20)&amp;"")</f>
        <v/>
      </c>
      <c r="F20" s="31" t="n"/>
      <c r="G20" s="33" t="str">
        <f>IF($R20="","",INDEX(tblTasks[案件名],$R20)&amp;"")</f>
        <v/>
      </c>
      <c r="H20" s="31" t="n"/>
      <c r="I20" s="33" t="str">
        <f>IF($R20="","",IF(INDEX(tblTasks[区分],$R20)="社内確認","社内：","連絡：")&amp;INDEX(tblTasks[内容],$R20))</f>
        <v/>
      </c>
      <c r="J20" s="31" t="n"/>
      <c r="K20" s="31" t="n"/>
      <c r="L20" s="31" t="n"/>
      <c r="M20" s="30" t="str">
        <f>IF($R20="","",INDEX(tblTasks[担当者],$R20)&amp;"")</f>
        <v/>
      </c>
      <c r="N20" s="33" t="str">
        <f>IF($R20="","",IF($S20="","",INDEX(tblCases[営業段階],$S20)&amp;"・"&amp;INDEX(tblCases[追客状態],$S20)))</f>
        <v/>
      </c>
      <c r="O20" s="31" t="n"/>
      <c r="P20" s="34" t="str">
        <f>IF($R20="","",IF($S20="","",INDEX(tblCases[最終会話・返信],$S20)))</f>
        <v/>
      </c>
      <c r="Q20" s="31" t="n"/>
      <c r="R20" t="str">
        <f>IF(3&gt;COUNTIF(tblTasks[一覧1対象],1),"",IFERROR(MATCH(3,tblTasks[一覧1順位],0),""))</f>
        <v/>
      </c>
      <c r="S20" t="str">
        <f>IF($R20="","",IFERROR(MATCH(INDEX(tblTasks[案件ID],$R20),tblCases[案件ID],0),""))</f>
        <v/>
      </c>
    </row>
    <row r="21" ht="30" customHeight="1">
      <c r="B21" s="30" t="str">
        <f>IF($R21="","",IF(INDEX(tblTasks[表示区分],$R21)="本日","本日","期限超過 "&amp;(RefDate-INT(INDEX(tblTasks[期限日],$R21)))&amp;"日"))</f>
        <v/>
      </c>
      <c r="C21" s="31" t="n"/>
      <c r="D21" s="32" t="str">
        <f>IF($R21="","",INDEX(tblTasks[期限日],$R21))</f>
        <v/>
      </c>
      <c r="E21" s="33" t="str">
        <f>IF($R21="","",INDEX(tblTasks[顧客名],$R21)&amp;"")</f>
        <v/>
      </c>
      <c r="F21" s="31" t="n"/>
      <c r="G21" s="33" t="str">
        <f>IF($R21="","",INDEX(tblTasks[案件名],$R21)&amp;"")</f>
        <v/>
      </c>
      <c r="H21" s="31" t="n"/>
      <c r="I21" s="33" t="str">
        <f>IF($R21="","",IF(INDEX(tblTasks[区分],$R21)="社内確認","社内：","連絡：")&amp;INDEX(tblTasks[内容],$R21))</f>
        <v/>
      </c>
      <c r="J21" s="31" t="n"/>
      <c r="K21" s="31" t="n"/>
      <c r="L21" s="31" t="n"/>
      <c r="M21" s="30" t="str">
        <f>IF($R21="","",INDEX(tblTasks[担当者],$R21)&amp;"")</f>
        <v/>
      </c>
      <c r="N21" s="33" t="str">
        <f>IF($R21="","",IF($S21="","",INDEX(tblCases[営業段階],$S21)&amp;"・"&amp;INDEX(tblCases[追客状態],$S21)))</f>
        <v/>
      </c>
      <c r="O21" s="31" t="n"/>
      <c r="P21" s="34" t="str">
        <f>IF($R21="","",IF($S21="","",INDEX(tblCases[最終会話・返信],$S21)))</f>
        <v/>
      </c>
      <c r="Q21" s="31" t="n"/>
      <c r="R21" t="str">
        <f>IF(4&gt;COUNTIF(tblTasks[一覧1対象],1),"",IFERROR(MATCH(4,tblTasks[一覧1順位],0),""))</f>
        <v/>
      </c>
      <c r="S21" t="str">
        <f>IF($R21="","",IFERROR(MATCH(INDEX(tblTasks[案件ID],$R21),tblCases[案件ID],0),""))</f>
        <v/>
      </c>
    </row>
    <row r="22" ht="30" customHeight="1">
      <c r="B22" s="30" t="str">
        <f>IF($R22="","",IF(INDEX(tblTasks[表示区分],$R22)="本日","本日","期限超過 "&amp;(RefDate-INT(INDEX(tblTasks[期限日],$R22)))&amp;"日"))</f>
        <v/>
      </c>
      <c r="C22" s="31" t="n"/>
      <c r="D22" s="32" t="str">
        <f>IF($R22="","",INDEX(tblTasks[期限日],$R22))</f>
        <v/>
      </c>
      <c r="E22" s="33" t="str">
        <f>IF($R22="","",INDEX(tblTasks[顧客名],$R22)&amp;"")</f>
        <v/>
      </c>
      <c r="F22" s="31" t="n"/>
      <c r="G22" s="33" t="str">
        <f>IF($R22="","",INDEX(tblTasks[案件名],$R22)&amp;"")</f>
        <v/>
      </c>
      <c r="H22" s="31" t="n"/>
      <c r="I22" s="33" t="str">
        <f>IF($R22="","",IF(INDEX(tblTasks[区分],$R22)="社内確認","社内：","連絡：")&amp;INDEX(tblTasks[内容],$R22))</f>
        <v/>
      </c>
      <c r="J22" s="31" t="n"/>
      <c r="K22" s="31" t="n"/>
      <c r="L22" s="31" t="n"/>
      <c r="M22" s="30" t="str">
        <f>IF($R22="","",INDEX(tblTasks[担当者],$R22)&amp;"")</f>
        <v/>
      </c>
      <c r="N22" s="33" t="str">
        <f>IF($R22="","",IF($S22="","",INDEX(tblCases[営業段階],$S22)&amp;"・"&amp;INDEX(tblCases[追客状態],$S22)))</f>
        <v/>
      </c>
      <c r="O22" s="31" t="n"/>
      <c r="P22" s="34" t="str">
        <f>IF($R22="","",IF($S22="","",INDEX(tblCases[最終会話・返信],$S22)))</f>
        <v/>
      </c>
      <c r="Q22" s="31" t="n"/>
      <c r="R22" t="str">
        <f>IF(5&gt;COUNTIF(tblTasks[一覧1対象],1),"",IFERROR(MATCH(5,tblTasks[一覧1順位],0),""))</f>
        <v/>
      </c>
      <c r="S22" t="str">
        <f>IF($R22="","",IFERROR(MATCH(INDEX(tblTasks[案件ID],$R22),tblCases[案件ID],0),""))</f>
        <v/>
      </c>
    </row>
    <row r="23" ht="30" customHeight="1">
      <c r="B23" s="30" t="str">
        <f>IF($R23="","",IF(INDEX(tblTasks[表示区分],$R23)="本日","本日","期限超過 "&amp;(RefDate-INT(INDEX(tblTasks[期限日],$R23)))&amp;"日"))</f>
        <v/>
      </c>
      <c r="C23" s="31" t="n"/>
      <c r="D23" s="32" t="str">
        <f>IF($R23="","",INDEX(tblTasks[期限日],$R23))</f>
        <v/>
      </c>
      <c r="E23" s="33" t="str">
        <f>IF($R23="","",INDEX(tblTasks[顧客名],$R23)&amp;"")</f>
        <v/>
      </c>
      <c r="F23" s="31" t="n"/>
      <c r="G23" s="33" t="str">
        <f>IF($R23="","",INDEX(tblTasks[案件名],$R23)&amp;"")</f>
        <v/>
      </c>
      <c r="H23" s="31" t="n"/>
      <c r="I23" s="33" t="str">
        <f>IF($R23="","",IF(INDEX(tblTasks[区分],$R23)="社内確認","社内：","連絡：")&amp;INDEX(tblTasks[内容],$R23))</f>
        <v/>
      </c>
      <c r="J23" s="31" t="n"/>
      <c r="K23" s="31" t="n"/>
      <c r="L23" s="31" t="n"/>
      <c r="M23" s="30" t="str">
        <f>IF($R23="","",INDEX(tblTasks[担当者],$R23)&amp;"")</f>
        <v/>
      </c>
      <c r="N23" s="33" t="str">
        <f>IF($R23="","",IF($S23="","",INDEX(tblCases[営業段階],$S23)&amp;"・"&amp;INDEX(tblCases[追客状態],$S23)))</f>
        <v/>
      </c>
      <c r="O23" s="31" t="n"/>
      <c r="P23" s="34" t="str">
        <f>IF($R23="","",IF($S23="","",INDEX(tblCases[最終会話・返信],$S23)))</f>
        <v/>
      </c>
      <c r="Q23" s="31" t="n"/>
      <c r="R23" t="str">
        <f>IF(6&gt;COUNTIF(tblTasks[一覧1対象],1),"",IFERROR(MATCH(6,tblTasks[一覧1順位],0),""))</f>
        <v/>
      </c>
      <c r="S23" t="str">
        <f>IF($R23="","",IFERROR(MATCH(INDEX(tblTasks[案件ID],$R23),tblCases[案件ID],0),""))</f>
        <v/>
      </c>
    </row>
    <row r="24" ht="30" customHeight="1">
      <c r="B24" s="30" t="str">
        <f>IF($R24="","",IF(INDEX(tblTasks[表示区分],$R24)="本日","本日","期限超過 "&amp;(RefDate-INT(INDEX(tblTasks[期限日],$R24)))&amp;"日"))</f>
        <v/>
      </c>
      <c r="C24" s="31" t="n"/>
      <c r="D24" s="32" t="str">
        <f>IF($R24="","",INDEX(tblTasks[期限日],$R24))</f>
        <v/>
      </c>
      <c r="E24" s="33" t="str">
        <f>IF($R24="","",INDEX(tblTasks[顧客名],$R24)&amp;"")</f>
        <v/>
      </c>
      <c r="F24" s="31" t="n"/>
      <c r="G24" s="33" t="str">
        <f>IF($R24="","",INDEX(tblTasks[案件名],$R24)&amp;"")</f>
        <v/>
      </c>
      <c r="H24" s="31" t="n"/>
      <c r="I24" s="33" t="str">
        <f>IF($R24="","",IF(INDEX(tblTasks[区分],$R24)="社内確認","社内：","連絡：")&amp;INDEX(tblTasks[内容],$R24))</f>
        <v/>
      </c>
      <c r="J24" s="31" t="n"/>
      <c r="K24" s="31" t="n"/>
      <c r="L24" s="31" t="n"/>
      <c r="M24" s="30" t="str">
        <f>IF($R24="","",INDEX(tblTasks[担当者],$R24)&amp;"")</f>
        <v/>
      </c>
      <c r="N24" s="33" t="str">
        <f>IF($R24="","",IF($S24="","",INDEX(tblCases[営業段階],$S24)&amp;"・"&amp;INDEX(tblCases[追客状態],$S24)))</f>
        <v/>
      </c>
      <c r="O24" s="31" t="n"/>
      <c r="P24" s="34" t="str">
        <f>IF($R24="","",IF($S24="","",INDEX(tblCases[最終会話・返信],$S24)))</f>
        <v/>
      </c>
      <c r="Q24" s="31" t="n"/>
      <c r="R24" t="str">
        <f>IF(7&gt;COUNTIF(tblTasks[一覧1対象],1),"",IFERROR(MATCH(7,tblTasks[一覧1順位],0),""))</f>
        <v/>
      </c>
      <c r="S24" t="str">
        <f>IF($R24="","",IFERROR(MATCH(INDEX(tblTasks[案件ID],$R24),tblCases[案件ID],0),""))</f>
        <v/>
      </c>
    </row>
    <row r="25" ht="30" customHeight="1">
      <c r="B25" s="30" t="str">
        <f>IF($R25="","",IF(INDEX(tblTasks[表示区分],$R25)="本日","本日","期限超過 "&amp;(RefDate-INT(INDEX(tblTasks[期限日],$R25)))&amp;"日"))</f>
        <v/>
      </c>
      <c r="C25" s="31" t="n"/>
      <c r="D25" s="32" t="str">
        <f>IF($R25="","",INDEX(tblTasks[期限日],$R25))</f>
        <v/>
      </c>
      <c r="E25" s="33" t="str">
        <f>IF($R25="","",INDEX(tblTasks[顧客名],$R25)&amp;"")</f>
        <v/>
      </c>
      <c r="F25" s="31" t="n"/>
      <c r="G25" s="33" t="str">
        <f>IF($R25="","",INDEX(tblTasks[案件名],$R25)&amp;"")</f>
        <v/>
      </c>
      <c r="H25" s="31" t="n"/>
      <c r="I25" s="33" t="str">
        <f>IF($R25="","",IF(INDEX(tblTasks[区分],$R25)="社内確認","社内：","連絡：")&amp;INDEX(tblTasks[内容],$R25))</f>
        <v/>
      </c>
      <c r="J25" s="31" t="n"/>
      <c r="K25" s="31" t="n"/>
      <c r="L25" s="31" t="n"/>
      <c r="M25" s="30" t="str">
        <f>IF($R25="","",INDEX(tblTasks[担当者],$R25)&amp;"")</f>
        <v/>
      </c>
      <c r="N25" s="33" t="str">
        <f>IF($R25="","",IF($S25="","",INDEX(tblCases[営業段階],$S25)&amp;"・"&amp;INDEX(tblCases[追客状態],$S25)))</f>
        <v/>
      </c>
      <c r="O25" s="31" t="n"/>
      <c r="P25" s="34" t="str">
        <f>IF($R25="","",IF($S25="","",INDEX(tblCases[最終会話・返信],$S25)))</f>
        <v/>
      </c>
      <c r="Q25" s="31" t="n"/>
      <c r="R25" t="str">
        <f>IF(8&gt;COUNTIF(tblTasks[一覧1対象],1),"",IFERROR(MATCH(8,tblTasks[一覧1順位],0),""))</f>
        <v/>
      </c>
      <c r="S25" t="str">
        <f>IF($R25="","",IFERROR(MATCH(INDEX(tblTasks[案件ID],$R25),tblCases[案件ID],0),""))</f>
        <v/>
      </c>
    </row>
    <row r="26" ht="30" customHeight="1">
      <c r="B26" s="30" t="str">
        <f>IF($R26="","",IF(INDEX(tblTasks[表示区分],$R26)="本日","本日","期限超過 "&amp;(RefDate-INT(INDEX(tblTasks[期限日],$R26)))&amp;"日"))</f>
        <v/>
      </c>
      <c r="C26" s="31" t="n"/>
      <c r="D26" s="32" t="str">
        <f>IF($R26="","",INDEX(tblTasks[期限日],$R26))</f>
        <v/>
      </c>
      <c r="E26" s="33" t="str">
        <f>IF($R26="","",INDEX(tblTasks[顧客名],$R26)&amp;"")</f>
        <v/>
      </c>
      <c r="F26" s="31" t="n"/>
      <c r="G26" s="33" t="str">
        <f>IF($R26="","",INDEX(tblTasks[案件名],$R26)&amp;"")</f>
        <v/>
      </c>
      <c r="H26" s="31" t="n"/>
      <c r="I26" s="33" t="str">
        <f>IF($R26="","",IF(INDEX(tblTasks[区分],$R26)="社内確認","社内：","連絡：")&amp;INDEX(tblTasks[内容],$R26))</f>
        <v/>
      </c>
      <c r="J26" s="31" t="n"/>
      <c r="K26" s="31" t="n"/>
      <c r="L26" s="31" t="n"/>
      <c r="M26" s="30" t="str">
        <f>IF($R26="","",INDEX(tblTasks[担当者],$R26)&amp;"")</f>
        <v/>
      </c>
      <c r="N26" s="33" t="str">
        <f>IF($R26="","",IF($S26="","",INDEX(tblCases[営業段階],$S26)&amp;"・"&amp;INDEX(tblCases[追客状態],$S26)))</f>
        <v/>
      </c>
      <c r="O26" s="31" t="n"/>
      <c r="P26" s="34" t="str">
        <f>IF($R26="","",IF($S26="","",INDEX(tblCases[最終会話・返信],$S26)))</f>
        <v/>
      </c>
      <c r="Q26" s="31" t="n"/>
      <c r="R26" t="str">
        <f>IF(9&gt;COUNTIF(tblTasks[一覧1対象],1),"",IFERROR(MATCH(9,tblTasks[一覧1順位],0),""))</f>
        <v/>
      </c>
      <c r="S26" t="str">
        <f>IF($R26="","",IFERROR(MATCH(INDEX(tblTasks[案件ID],$R26),tblCases[案件ID],0),""))</f>
        <v/>
      </c>
    </row>
    <row r="27" ht="30" customHeight="1">
      <c r="B27" s="30" t="str">
        <f>IF($R27="","",IF(INDEX(tblTasks[表示区分],$R27)="本日","本日","期限超過 "&amp;(RefDate-INT(INDEX(tblTasks[期限日],$R27)))&amp;"日"))</f>
        <v/>
      </c>
      <c r="C27" s="31" t="n"/>
      <c r="D27" s="32" t="str">
        <f>IF($R27="","",INDEX(tblTasks[期限日],$R27))</f>
        <v/>
      </c>
      <c r="E27" s="33" t="str">
        <f>IF($R27="","",INDEX(tblTasks[顧客名],$R27)&amp;"")</f>
        <v/>
      </c>
      <c r="F27" s="31" t="n"/>
      <c r="G27" s="33" t="str">
        <f>IF($R27="","",INDEX(tblTasks[案件名],$R27)&amp;"")</f>
        <v/>
      </c>
      <c r="H27" s="31" t="n"/>
      <c r="I27" s="33" t="str">
        <f>IF($R27="","",IF(INDEX(tblTasks[区分],$R27)="社内確認","社内：","連絡：")&amp;INDEX(tblTasks[内容],$R27))</f>
        <v/>
      </c>
      <c r="J27" s="31" t="n"/>
      <c r="K27" s="31" t="n"/>
      <c r="L27" s="31" t="n"/>
      <c r="M27" s="30" t="str">
        <f>IF($R27="","",INDEX(tblTasks[担当者],$R27)&amp;"")</f>
        <v/>
      </c>
      <c r="N27" s="33" t="str">
        <f>IF($R27="","",IF($S27="","",INDEX(tblCases[営業段階],$S27)&amp;"・"&amp;INDEX(tblCases[追客状態],$S27)))</f>
        <v/>
      </c>
      <c r="O27" s="31" t="n"/>
      <c r="P27" s="34" t="str">
        <f>IF($R27="","",IF($S27="","",INDEX(tblCases[最終会話・返信],$S27)))</f>
        <v/>
      </c>
      <c r="Q27" s="31" t="n"/>
      <c r="R27" t="str">
        <f>IF(10&gt;COUNTIF(tblTasks[一覧1対象],1),"",IFERROR(MATCH(10,tblTasks[一覧1順位],0),""))</f>
        <v/>
      </c>
      <c r="S27" t="str">
        <f>IF($R27="","",IFERROR(MATCH(INDEX(tblTasks[案件ID],$R27),tblCases[案件ID],0),""))</f>
        <v/>
      </c>
    </row>
    <row r="28" ht="30" customHeight="1">
      <c r="B28" s="30" t="str">
        <f>IF($R28="","",IF(INDEX(tblTasks[表示区分],$R28)="本日","本日","期限超過 "&amp;(RefDate-INT(INDEX(tblTasks[期限日],$R28)))&amp;"日"))</f>
        <v/>
      </c>
      <c r="C28" s="31" t="n"/>
      <c r="D28" s="32" t="str">
        <f>IF($R28="","",INDEX(tblTasks[期限日],$R28))</f>
        <v/>
      </c>
      <c r="E28" s="33" t="str">
        <f>IF($R28="","",INDEX(tblTasks[顧客名],$R28)&amp;"")</f>
        <v/>
      </c>
      <c r="F28" s="31" t="n"/>
      <c r="G28" s="33" t="str">
        <f>IF($R28="","",INDEX(tblTasks[案件名],$R28)&amp;"")</f>
        <v/>
      </c>
      <c r="H28" s="31" t="n"/>
      <c r="I28" s="33" t="str">
        <f>IF($R28="","",IF(INDEX(tblTasks[区分],$R28)="社内確認","社内：","連絡：")&amp;INDEX(tblTasks[内容],$R28))</f>
        <v/>
      </c>
      <c r="J28" s="31" t="n"/>
      <c r="K28" s="31" t="n"/>
      <c r="L28" s="31" t="n"/>
      <c r="M28" s="30" t="str">
        <f>IF($R28="","",INDEX(tblTasks[担当者],$R28)&amp;"")</f>
        <v/>
      </c>
      <c r="N28" s="33" t="str">
        <f>IF($R28="","",IF($S28="","",INDEX(tblCases[営業段階],$S28)&amp;"・"&amp;INDEX(tblCases[追客状態],$S28)))</f>
        <v/>
      </c>
      <c r="O28" s="31" t="n"/>
      <c r="P28" s="34" t="str">
        <f>IF($R28="","",IF($S28="","",INDEX(tblCases[最終会話・返信],$S28)))</f>
        <v/>
      </c>
      <c r="Q28" s="31" t="n"/>
      <c r="R28" t="str">
        <f>IF(11&gt;COUNTIF(tblTasks[一覧1対象],1),"",IFERROR(MATCH(11,tblTasks[一覧1順位],0),""))</f>
        <v/>
      </c>
      <c r="S28" t="str">
        <f>IF($R28="","",IFERROR(MATCH(INDEX(tblTasks[案件ID],$R28),tblCases[案件ID],0),""))</f>
        <v/>
      </c>
    </row>
    <row r="29" ht="30" customHeight="1">
      <c r="B29" s="30" t="str">
        <f>IF($R29="","",IF(INDEX(tblTasks[表示区分],$R29)="本日","本日","期限超過 "&amp;(RefDate-INT(INDEX(tblTasks[期限日],$R29)))&amp;"日"))</f>
        <v/>
      </c>
      <c r="C29" s="31" t="n"/>
      <c r="D29" s="32" t="str">
        <f>IF($R29="","",INDEX(tblTasks[期限日],$R29))</f>
        <v/>
      </c>
      <c r="E29" s="33" t="str">
        <f>IF($R29="","",INDEX(tblTasks[顧客名],$R29)&amp;"")</f>
        <v/>
      </c>
      <c r="F29" s="31" t="n"/>
      <c r="G29" s="33" t="str">
        <f>IF($R29="","",INDEX(tblTasks[案件名],$R29)&amp;"")</f>
        <v/>
      </c>
      <c r="H29" s="31" t="n"/>
      <c r="I29" s="33" t="str">
        <f>IF($R29="","",IF(INDEX(tblTasks[区分],$R29)="社内確認","社内：","連絡：")&amp;INDEX(tblTasks[内容],$R29))</f>
        <v/>
      </c>
      <c r="J29" s="31" t="n"/>
      <c r="K29" s="31" t="n"/>
      <c r="L29" s="31" t="n"/>
      <c r="M29" s="30" t="str">
        <f>IF($R29="","",INDEX(tblTasks[担当者],$R29)&amp;"")</f>
        <v/>
      </c>
      <c r="N29" s="33" t="str">
        <f>IF($R29="","",IF($S29="","",INDEX(tblCases[営業段階],$S29)&amp;"・"&amp;INDEX(tblCases[追客状態],$S29)))</f>
        <v/>
      </c>
      <c r="O29" s="31" t="n"/>
      <c r="P29" s="34" t="str">
        <f>IF($R29="","",IF($S29="","",INDEX(tblCases[最終会話・返信],$S29)))</f>
        <v/>
      </c>
      <c r="Q29" s="31" t="n"/>
      <c r="R29" t="str">
        <f>IF(12&gt;COUNTIF(tblTasks[一覧1対象],1),"",IFERROR(MATCH(12,tblTasks[一覧1順位],0),""))</f>
        <v/>
      </c>
      <c r="S29" t="str">
        <f>IF($R29="","",IFERROR(MATCH(INDEX(tblTasks[案件ID],$R29),tblCases[案件ID],0),""))</f>
        <v/>
      </c>
    </row>
    <row r="30" ht="30" customHeight="1">
      <c r="B30" s="30" t="str">
        <f>IF($R30="","",IF(INDEX(tblTasks[表示区分],$R30)="本日","本日","期限超過 "&amp;(RefDate-INT(INDEX(tblTasks[期限日],$R30)))&amp;"日"))</f>
        <v/>
      </c>
      <c r="C30" s="31" t="n"/>
      <c r="D30" s="32" t="str">
        <f>IF($R30="","",INDEX(tblTasks[期限日],$R30))</f>
        <v/>
      </c>
      <c r="E30" s="33" t="str">
        <f>IF($R30="","",INDEX(tblTasks[顧客名],$R30)&amp;"")</f>
        <v/>
      </c>
      <c r="F30" s="31" t="n"/>
      <c r="G30" s="33" t="str">
        <f>IF($R30="","",INDEX(tblTasks[案件名],$R30)&amp;"")</f>
        <v/>
      </c>
      <c r="H30" s="31" t="n"/>
      <c r="I30" s="33" t="str">
        <f>IF($R30="","",IF(INDEX(tblTasks[区分],$R30)="社内確認","社内：","連絡：")&amp;INDEX(tblTasks[内容],$R30))</f>
        <v/>
      </c>
      <c r="J30" s="31" t="n"/>
      <c r="K30" s="31" t="n"/>
      <c r="L30" s="31" t="n"/>
      <c r="M30" s="30" t="str">
        <f>IF($R30="","",INDEX(tblTasks[担当者],$R30)&amp;"")</f>
        <v/>
      </c>
      <c r="N30" s="33" t="str">
        <f>IF($R30="","",IF($S30="","",INDEX(tblCases[営業段階],$S30)&amp;"・"&amp;INDEX(tblCases[追客状態],$S30)))</f>
        <v/>
      </c>
      <c r="O30" s="31" t="n"/>
      <c r="P30" s="34" t="str">
        <f>IF($R30="","",IF($S30="","",INDEX(tblCases[最終会話・返信],$S30)))</f>
        <v/>
      </c>
      <c r="Q30" s="31" t="n"/>
      <c r="R30" t="str">
        <f>IF(13&gt;COUNTIF(tblTasks[一覧1対象],1),"",IFERROR(MATCH(13,tblTasks[一覧1順位],0),""))</f>
        <v/>
      </c>
      <c r="S30" t="str">
        <f>IF($R30="","",IFERROR(MATCH(INDEX(tblTasks[案件ID],$R30),tblCases[案件ID],0),""))</f>
        <v/>
      </c>
    </row>
    <row r="31" ht="30" customHeight="1">
      <c r="B31" s="30" t="str">
        <f>IF($R31="","",IF(INDEX(tblTasks[表示区分],$R31)="本日","本日","期限超過 "&amp;(RefDate-INT(INDEX(tblTasks[期限日],$R31)))&amp;"日"))</f>
        <v/>
      </c>
      <c r="C31" s="31" t="n"/>
      <c r="D31" s="32" t="str">
        <f>IF($R31="","",INDEX(tblTasks[期限日],$R31))</f>
        <v/>
      </c>
      <c r="E31" s="33" t="str">
        <f>IF($R31="","",INDEX(tblTasks[顧客名],$R31)&amp;"")</f>
        <v/>
      </c>
      <c r="F31" s="31" t="n"/>
      <c r="G31" s="33" t="str">
        <f>IF($R31="","",INDEX(tblTasks[案件名],$R31)&amp;"")</f>
        <v/>
      </c>
      <c r="H31" s="31" t="n"/>
      <c r="I31" s="33" t="str">
        <f>IF($R31="","",IF(INDEX(tblTasks[区分],$R31)="社内確認","社内：","連絡：")&amp;INDEX(tblTasks[内容],$R31))</f>
        <v/>
      </c>
      <c r="J31" s="31" t="n"/>
      <c r="K31" s="31" t="n"/>
      <c r="L31" s="31" t="n"/>
      <c r="M31" s="30" t="str">
        <f>IF($R31="","",INDEX(tblTasks[担当者],$R31)&amp;"")</f>
        <v/>
      </c>
      <c r="N31" s="33" t="str">
        <f>IF($R31="","",IF($S31="","",INDEX(tblCases[営業段階],$S31)&amp;"・"&amp;INDEX(tblCases[追客状態],$S31)))</f>
        <v/>
      </c>
      <c r="O31" s="31" t="n"/>
      <c r="P31" s="34" t="str">
        <f>IF($R31="","",IF($S31="","",INDEX(tblCases[最終会話・返信],$S31)))</f>
        <v/>
      </c>
      <c r="Q31" s="31" t="n"/>
      <c r="R31" t="str">
        <f>IF(14&gt;COUNTIF(tblTasks[一覧1対象],1),"",IFERROR(MATCH(14,tblTasks[一覧1順位],0),""))</f>
        <v/>
      </c>
      <c r="S31" t="str">
        <f>IF($R31="","",IFERROR(MATCH(INDEX(tblTasks[案件ID],$R31),tblCases[案件ID],0),""))</f>
        <v/>
      </c>
    </row>
    <row r="32" ht="30" customHeight="1">
      <c r="B32" s="30" t="str">
        <f>IF($R32="","",IF(INDEX(tblTasks[表示区分],$R32)="本日","本日","期限超過 "&amp;(RefDate-INT(INDEX(tblTasks[期限日],$R32)))&amp;"日"))</f>
        <v/>
      </c>
      <c r="C32" s="31" t="n"/>
      <c r="D32" s="32" t="str">
        <f>IF($R32="","",INDEX(tblTasks[期限日],$R32))</f>
        <v/>
      </c>
      <c r="E32" s="33" t="str">
        <f>IF($R32="","",INDEX(tblTasks[顧客名],$R32)&amp;"")</f>
        <v/>
      </c>
      <c r="F32" s="31" t="n"/>
      <c r="G32" s="33" t="str">
        <f>IF($R32="","",INDEX(tblTasks[案件名],$R32)&amp;"")</f>
        <v/>
      </c>
      <c r="H32" s="31" t="n"/>
      <c r="I32" s="33" t="str">
        <f>IF($R32="","",IF(INDEX(tblTasks[区分],$R32)="社内確認","社内：","連絡：")&amp;INDEX(tblTasks[内容],$R32))</f>
        <v/>
      </c>
      <c r="J32" s="31" t="n"/>
      <c r="K32" s="31" t="n"/>
      <c r="L32" s="31" t="n"/>
      <c r="M32" s="30" t="str">
        <f>IF($R32="","",INDEX(tblTasks[担当者],$R32)&amp;"")</f>
        <v/>
      </c>
      <c r="N32" s="33" t="str">
        <f>IF($R32="","",IF($S32="","",INDEX(tblCases[営業段階],$S32)&amp;"・"&amp;INDEX(tblCases[追客状態],$S32)))</f>
        <v/>
      </c>
      <c r="O32" s="31" t="n"/>
      <c r="P32" s="34" t="str">
        <f>IF($R32="","",IF($S32="","",INDEX(tblCases[最終会話・返信],$S32)))</f>
        <v/>
      </c>
      <c r="Q32" s="31" t="n"/>
      <c r="R32" t="str">
        <f>IF(15&gt;COUNTIF(tblTasks[一覧1対象],1),"",IFERROR(MATCH(15,tblTasks[一覧1順位],0),""))</f>
        <v/>
      </c>
      <c r="S32" t="str">
        <f>IF($R32="","",IFERROR(MATCH(INDEX(tblTasks[案件ID],$R32),tblCases[案件ID],0),""))</f>
        <v/>
      </c>
    </row>
    <row r="33" ht="18" customHeight="1">
      <c r="B33" s="35" t="str">
        <f>IF(COUNTIF(tblTasks[一覧1対象],1)&gt;15,"▲ ほか "&amp;(COUNTIF(tblTasks[一覧1対象],1)-15)&amp;" 件あります。「04_対応タスク」の表示区分で「期限超過」「本日」を絞り込んで確認してください。","")</f>
        <v/>
      </c>
    </row>
    <row r="35" ht="24" customHeight="1">
      <c r="B35" s="26" t="inlineStr">
        <is>
          <t>② 次回対応が未設定の進行中案件（最新接点が古い順）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7" t="str">
        <f>"表示 "&amp;MIN(10,COUNTIF(tblCases[未設定対象],1))&amp;" 件／対象 "&amp;COUNTIF(tblCases[未設定対象],1)&amp;" 件"</f>
        <v>表示 0 件／対象 0 件</v>
      </c>
    </row>
    <row r="36" ht="20" customHeight="1">
      <c r="B36" s="28" t="inlineStr">
        <is>
          <t>会社</t>
        </is>
      </c>
      <c r="C36" s="29" t="n"/>
      <c r="D36" s="28" t="inlineStr">
        <is>
          <t>案件</t>
        </is>
      </c>
      <c r="E36" s="29" t="n"/>
      <c r="F36" s="29" t="n"/>
      <c r="G36" s="28" t="inlineStr">
        <is>
          <t>担当</t>
        </is>
      </c>
      <c r="H36" s="28" t="inlineStr">
        <is>
          <t>営業段階</t>
        </is>
      </c>
      <c r="I36" s="29" t="n"/>
      <c r="J36" s="28" t="inlineStr">
        <is>
          <t>追客状態</t>
        </is>
      </c>
      <c r="K36" s="29" t="n"/>
      <c r="L36" s="28" t="inlineStr">
        <is>
          <t>最終会話・返信</t>
        </is>
      </c>
      <c r="M36" s="29" t="n"/>
      <c r="N36" s="28" t="inlineStr">
        <is>
          <t>注意</t>
        </is>
      </c>
      <c r="O36" s="29" t="n"/>
      <c r="P36" s="29" t="n"/>
      <c r="Q36" s="29" t="n"/>
    </row>
    <row r="37" ht="30" customHeight="1">
      <c r="B37" s="33" t="str">
        <f>IF($R37="","",INDEX(tblCases[顧客名],$R37)&amp;"")</f>
        <v/>
      </c>
      <c r="C37" s="31" t="n"/>
      <c r="D37" s="33" t="str">
        <f>IF($R37="","",INDEX(tblCases[案件名],$R37)&amp;"")</f>
        <v/>
      </c>
      <c r="E37" s="31" t="n"/>
      <c r="F37" s="31" t="n"/>
      <c r="G37" s="30" t="str">
        <f>IF($R37="","",INDEX(tblCases[社内担当],$R37)&amp;"")</f>
        <v/>
      </c>
      <c r="H37" s="33" t="str">
        <f>IF($R37="","",INDEX(tblCases[営業段階],$R37)&amp;"")</f>
        <v/>
      </c>
      <c r="I37" s="31" t="n"/>
      <c r="J37" s="33" t="str">
        <f>IF($R37="","",INDEX(tblCases[追客状態],$R37)&amp;"")</f>
        <v/>
      </c>
      <c r="K37" s="31" t="n"/>
      <c r="L37" s="34" t="str">
        <f>IF($R37="","",INDEX(tblCases[最終会話・返信],$R37))</f>
        <v/>
      </c>
      <c r="M37" s="31" t="n"/>
      <c r="N37" s="30" t="str">
        <f>IF($R37="",IF(COUNTIF(tblCases[未設定対象],1)=0,IF(COUNTIF(tblCases[案件ID],"?*")=0,"案件未登録：02_案件一覧に登録すると表示されます","該当なし（すべての進行中案件に期限つきの次回対応があります）"),""),INDEX(tblCases[注意],$R37)&amp;"")</f>
        <v>案件未登録：02_案件一覧に登録すると表示されます</v>
      </c>
      <c r="O37" s="31" t="n"/>
      <c r="P37" s="31" t="n"/>
      <c r="Q37" s="31" t="n"/>
      <c r="R37" t="str">
        <f>IF(1&gt;COUNTIF(tblCases[未設定対象],1),"",IFERROR(MATCH(1,tblCases[未設定順位],0),""))</f>
        <v/>
      </c>
      <c r="S37" t="str">
        <f>$R37</f>
        <v/>
      </c>
    </row>
    <row r="38" ht="30" customHeight="1">
      <c r="B38" s="33" t="str">
        <f>IF($R38="","",INDEX(tblCases[顧客名],$R38)&amp;"")</f>
        <v/>
      </c>
      <c r="C38" s="31" t="n"/>
      <c r="D38" s="33" t="str">
        <f>IF($R38="","",INDEX(tblCases[案件名],$R38)&amp;"")</f>
        <v/>
      </c>
      <c r="E38" s="31" t="n"/>
      <c r="F38" s="31" t="n"/>
      <c r="G38" s="30" t="str">
        <f>IF($R38="","",INDEX(tblCases[社内担当],$R38)&amp;"")</f>
        <v/>
      </c>
      <c r="H38" s="33" t="str">
        <f>IF($R38="","",INDEX(tblCases[営業段階],$R38)&amp;"")</f>
        <v/>
      </c>
      <c r="I38" s="31" t="n"/>
      <c r="J38" s="33" t="str">
        <f>IF($R38="","",INDEX(tblCases[追客状態],$R38)&amp;"")</f>
        <v/>
      </c>
      <c r="K38" s="31" t="n"/>
      <c r="L38" s="34" t="str">
        <f>IF($R38="","",INDEX(tblCases[最終会話・返信],$R38))</f>
        <v/>
      </c>
      <c r="M38" s="31" t="n"/>
      <c r="N38" s="30" t="str">
        <f>IF($R38="","",INDEX(tblCases[注意],$R38)&amp;"")</f>
        <v/>
      </c>
      <c r="O38" s="31" t="n"/>
      <c r="P38" s="31" t="n"/>
      <c r="Q38" s="31" t="n"/>
      <c r="R38" t="str">
        <f>IF(2&gt;COUNTIF(tblCases[未設定対象],1),"",IFERROR(MATCH(2,tblCases[未設定順位],0),""))</f>
        <v/>
      </c>
      <c r="S38" t="str">
        <f>$R38</f>
        <v/>
      </c>
    </row>
    <row r="39" ht="30" customHeight="1">
      <c r="B39" s="33" t="str">
        <f>IF($R39="","",INDEX(tblCases[顧客名],$R39)&amp;"")</f>
        <v/>
      </c>
      <c r="C39" s="31" t="n"/>
      <c r="D39" s="33" t="str">
        <f>IF($R39="","",INDEX(tblCases[案件名],$R39)&amp;"")</f>
        <v/>
      </c>
      <c r="E39" s="31" t="n"/>
      <c r="F39" s="31" t="n"/>
      <c r="G39" s="30" t="str">
        <f>IF($R39="","",INDEX(tblCases[社内担当],$R39)&amp;"")</f>
        <v/>
      </c>
      <c r="H39" s="33" t="str">
        <f>IF($R39="","",INDEX(tblCases[営業段階],$R39)&amp;"")</f>
        <v/>
      </c>
      <c r="I39" s="31" t="n"/>
      <c r="J39" s="33" t="str">
        <f>IF($R39="","",INDEX(tblCases[追客状態],$R39)&amp;"")</f>
        <v/>
      </c>
      <c r="K39" s="31" t="n"/>
      <c r="L39" s="34" t="str">
        <f>IF($R39="","",INDEX(tblCases[最終会話・返信],$R39))</f>
        <v/>
      </c>
      <c r="M39" s="31" t="n"/>
      <c r="N39" s="30" t="str">
        <f>IF($R39="","",INDEX(tblCases[注意],$R39)&amp;"")</f>
        <v/>
      </c>
      <c r="O39" s="31" t="n"/>
      <c r="P39" s="31" t="n"/>
      <c r="Q39" s="31" t="n"/>
      <c r="R39" t="str">
        <f>IF(3&gt;COUNTIF(tblCases[未設定対象],1),"",IFERROR(MATCH(3,tblCases[未設定順位],0),""))</f>
        <v/>
      </c>
      <c r="S39" t="str">
        <f>$R39</f>
        <v/>
      </c>
    </row>
    <row r="40" ht="30" customHeight="1">
      <c r="B40" s="33" t="str">
        <f>IF($R40="","",INDEX(tblCases[顧客名],$R40)&amp;"")</f>
        <v/>
      </c>
      <c r="C40" s="31" t="n"/>
      <c r="D40" s="33" t="str">
        <f>IF($R40="","",INDEX(tblCases[案件名],$R40)&amp;"")</f>
        <v/>
      </c>
      <c r="E40" s="31" t="n"/>
      <c r="F40" s="31" t="n"/>
      <c r="G40" s="30" t="str">
        <f>IF($R40="","",INDEX(tblCases[社内担当],$R40)&amp;"")</f>
        <v/>
      </c>
      <c r="H40" s="33" t="str">
        <f>IF($R40="","",INDEX(tblCases[営業段階],$R40)&amp;"")</f>
        <v/>
      </c>
      <c r="I40" s="31" t="n"/>
      <c r="J40" s="33" t="str">
        <f>IF($R40="","",INDEX(tblCases[追客状態],$R40)&amp;"")</f>
        <v/>
      </c>
      <c r="K40" s="31" t="n"/>
      <c r="L40" s="34" t="str">
        <f>IF($R40="","",INDEX(tblCases[最終会話・返信],$R40))</f>
        <v/>
      </c>
      <c r="M40" s="31" t="n"/>
      <c r="N40" s="30" t="str">
        <f>IF($R40="","",INDEX(tblCases[注意],$R40)&amp;"")</f>
        <v/>
      </c>
      <c r="O40" s="31" t="n"/>
      <c r="P40" s="31" t="n"/>
      <c r="Q40" s="31" t="n"/>
      <c r="R40" t="str">
        <f>IF(4&gt;COUNTIF(tblCases[未設定対象],1),"",IFERROR(MATCH(4,tblCases[未設定順位],0),""))</f>
        <v/>
      </c>
      <c r="S40" t="str">
        <f>$R40</f>
        <v/>
      </c>
    </row>
    <row r="41" ht="30" customHeight="1">
      <c r="B41" s="33" t="str">
        <f>IF($R41="","",INDEX(tblCases[顧客名],$R41)&amp;"")</f>
        <v/>
      </c>
      <c r="C41" s="31" t="n"/>
      <c r="D41" s="33" t="str">
        <f>IF($R41="","",INDEX(tblCases[案件名],$R41)&amp;"")</f>
        <v/>
      </c>
      <c r="E41" s="31" t="n"/>
      <c r="F41" s="31" t="n"/>
      <c r="G41" s="30" t="str">
        <f>IF($R41="","",INDEX(tblCases[社内担当],$R41)&amp;"")</f>
        <v/>
      </c>
      <c r="H41" s="33" t="str">
        <f>IF($R41="","",INDEX(tblCases[営業段階],$R41)&amp;"")</f>
        <v/>
      </c>
      <c r="I41" s="31" t="n"/>
      <c r="J41" s="33" t="str">
        <f>IF($R41="","",INDEX(tblCases[追客状態],$R41)&amp;"")</f>
        <v/>
      </c>
      <c r="K41" s="31" t="n"/>
      <c r="L41" s="34" t="str">
        <f>IF($R41="","",INDEX(tblCases[最終会話・返信],$R41))</f>
        <v/>
      </c>
      <c r="M41" s="31" t="n"/>
      <c r="N41" s="30" t="str">
        <f>IF($R41="","",INDEX(tblCases[注意],$R41)&amp;"")</f>
        <v/>
      </c>
      <c r="O41" s="31" t="n"/>
      <c r="P41" s="31" t="n"/>
      <c r="Q41" s="31" t="n"/>
      <c r="R41" t="str">
        <f>IF(5&gt;COUNTIF(tblCases[未設定対象],1),"",IFERROR(MATCH(5,tblCases[未設定順位],0),""))</f>
        <v/>
      </c>
      <c r="S41" t="str">
        <f>$R41</f>
        <v/>
      </c>
    </row>
    <row r="42" ht="30" customHeight="1">
      <c r="B42" s="33" t="str">
        <f>IF($R42="","",INDEX(tblCases[顧客名],$R42)&amp;"")</f>
        <v/>
      </c>
      <c r="C42" s="31" t="n"/>
      <c r="D42" s="33" t="str">
        <f>IF($R42="","",INDEX(tblCases[案件名],$R42)&amp;"")</f>
        <v/>
      </c>
      <c r="E42" s="31" t="n"/>
      <c r="F42" s="31" t="n"/>
      <c r="G42" s="30" t="str">
        <f>IF($R42="","",INDEX(tblCases[社内担当],$R42)&amp;"")</f>
        <v/>
      </c>
      <c r="H42" s="33" t="str">
        <f>IF($R42="","",INDEX(tblCases[営業段階],$R42)&amp;"")</f>
        <v/>
      </c>
      <c r="I42" s="31" t="n"/>
      <c r="J42" s="33" t="str">
        <f>IF($R42="","",INDEX(tblCases[追客状態],$R42)&amp;"")</f>
        <v/>
      </c>
      <c r="K42" s="31" t="n"/>
      <c r="L42" s="34" t="str">
        <f>IF($R42="","",INDEX(tblCases[最終会話・返信],$R42))</f>
        <v/>
      </c>
      <c r="M42" s="31" t="n"/>
      <c r="N42" s="30" t="str">
        <f>IF($R42="","",INDEX(tblCases[注意],$R42)&amp;"")</f>
        <v/>
      </c>
      <c r="O42" s="31" t="n"/>
      <c r="P42" s="31" t="n"/>
      <c r="Q42" s="31" t="n"/>
      <c r="R42" t="str">
        <f>IF(6&gt;COUNTIF(tblCases[未設定対象],1),"",IFERROR(MATCH(6,tblCases[未設定順位],0),""))</f>
        <v/>
      </c>
      <c r="S42" t="str">
        <f>$R42</f>
        <v/>
      </c>
    </row>
    <row r="43" ht="30" customHeight="1">
      <c r="B43" s="33" t="str">
        <f>IF($R43="","",INDEX(tblCases[顧客名],$R43)&amp;"")</f>
        <v/>
      </c>
      <c r="C43" s="31" t="n"/>
      <c r="D43" s="33" t="str">
        <f>IF($R43="","",INDEX(tblCases[案件名],$R43)&amp;"")</f>
        <v/>
      </c>
      <c r="E43" s="31" t="n"/>
      <c r="F43" s="31" t="n"/>
      <c r="G43" s="30" t="str">
        <f>IF($R43="","",INDEX(tblCases[社内担当],$R43)&amp;"")</f>
        <v/>
      </c>
      <c r="H43" s="33" t="str">
        <f>IF($R43="","",INDEX(tblCases[営業段階],$R43)&amp;"")</f>
        <v/>
      </c>
      <c r="I43" s="31" t="n"/>
      <c r="J43" s="33" t="str">
        <f>IF($R43="","",INDEX(tblCases[追客状態],$R43)&amp;"")</f>
        <v/>
      </c>
      <c r="K43" s="31" t="n"/>
      <c r="L43" s="34" t="str">
        <f>IF($R43="","",INDEX(tblCases[最終会話・返信],$R43))</f>
        <v/>
      </c>
      <c r="M43" s="31" t="n"/>
      <c r="N43" s="30" t="str">
        <f>IF($R43="","",INDEX(tblCases[注意],$R43)&amp;"")</f>
        <v/>
      </c>
      <c r="O43" s="31" t="n"/>
      <c r="P43" s="31" t="n"/>
      <c r="Q43" s="31" t="n"/>
      <c r="R43" t="str">
        <f>IF(7&gt;COUNTIF(tblCases[未設定対象],1),"",IFERROR(MATCH(7,tblCases[未設定順位],0),""))</f>
        <v/>
      </c>
      <c r="S43" t="str">
        <f>$R43</f>
        <v/>
      </c>
    </row>
    <row r="44" ht="30" customHeight="1">
      <c r="B44" s="33" t="str">
        <f>IF($R44="","",INDEX(tblCases[顧客名],$R44)&amp;"")</f>
        <v/>
      </c>
      <c r="C44" s="31" t="n"/>
      <c r="D44" s="33" t="str">
        <f>IF($R44="","",INDEX(tblCases[案件名],$R44)&amp;"")</f>
        <v/>
      </c>
      <c r="E44" s="31" t="n"/>
      <c r="F44" s="31" t="n"/>
      <c r="G44" s="30" t="str">
        <f>IF($R44="","",INDEX(tblCases[社内担当],$R44)&amp;"")</f>
        <v/>
      </c>
      <c r="H44" s="33" t="str">
        <f>IF($R44="","",INDEX(tblCases[営業段階],$R44)&amp;"")</f>
        <v/>
      </c>
      <c r="I44" s="31" t="n"/>
      <c r="J44" s="33" t="str">
        <f>IF($R44="","",INDEX(tblCases[追客状態],$R44)&amp;"")</f>
        <v/>
      </c>
      <c r="K44" s="31" t="n"/>
      <c r="L44" s="34" t="str">
        <f>IF($R44="","",INDEX(tblCases[最終会話・返信],$R44))</f>
        <v/>
      </c>
      <c r="M44" s="31" t="n"/>
      <c r="N44" s="30" t="str">
        <f>IF($R44="","",INDEX(tblCases[注意],$R44)&amp;"")</f>
        <v/>
      </c>
      <c r="O44" s="31" t="n"/>
      <c r="P44" s="31" t="n"/>
      <c r="Q44" s="31" t="n"/>
      <c r="R44" t="str">
        <f>IF(8&gt;COUNTIF(tblCases[未設定対象],1),"",IFERROR(MATCH(8,tblCases[未設定順位],0),""))</f>
        <v/>
      </c>
      <c r="S44" t="str">
        <f>$R44</f>
        <v/>
      </c>
    </row>
    <row r="45" ht="30" customHeight="1">
      <c r="B45" s="33" t="str">
        <f>IF($R45="","",INDEX(tblCases[顧客名],$R45)&amp;"")</f>
        <v/>
      </c>
      <c r="C45" s="31" t="n"/>
      <c r="D45" s="33" t="str">
        <f>IF($R45="","",INDEX(tblCases[案件名],$R45)&amp;"")</f>
        <v/>
      </c>
      <c r="E45" s="31" t="n"/>
      <c r="F45" s="31" t="n"/>
      <c r="G45" s="30" t="str">
        <f>IF($R45="","",INDEX(tblCases[社内担当],$R45)&amp;"")</f>
        <v/>
      </c>
      <c r="H45" s="33" t="str">
        <f>IF($R45="","",INDEX(tblCases[営業段階],$R45)&amp;"")</f>
        <v/>
      </c>
      <c r="I45" s="31" t="n"/>
      <c r="J45" s="33" t="str">
        <f>IF($R45="","",INDEX(tblCases[追客状態],$R45)&amp;"")</f>
        <v/>
      </c>
      <c r="K45" s="31" t="n"/>
      <c r="L45" s="34" t="str">
        <f>IF($R45="","",INDEX(tblCases[最終会話・返信],$R45))</f>
        <v/>
      </c>
      <c r="M45" s="31" t="n"/>
      <c r="N45" s="30" t="str">
        <f>IF($R45="","",INDEX(tblCases[注意],$R45)&amp;"")</f>
        <v/>
      </c>
      <c r="O45" s="31" t="n"/>
      <c r="P45" s="31" t="n"/>
      <c r="Q45" s="31" t="n"/>
      <c r="R45" t="str">
        <f>IF(9&gt;COUNTIF(tblCases[未設定対象],1),"",IFERROR(MATCH(9,tblCases[未設定順位],0),""))</f>
        <v/>
      </c>
      <c r="S45" t="str">
        <f>$R45</f>
        <v/>
      </c>
    </row>
    <row r="46" ht="30" customHeight="1">
      <c r="B46" s="33" t="str">
        <f>IF($R46="","",INDEX(tblCases[顧客名],$R46)&amp;"")</f>
        <v/>
      </c>
      <c r="C46" s="31" t="n"/>
      <c r="D46" s="33" t="str">
        <f>IF($R46="","",INDEX(tblCases[案件名],$R46)&amp;"")</f>
        <v/>
      </c>
      <c r="E46" s="31" t="n"/>
      <c r="F46" s="31" t="n"/>
      <c r="G46" s="30" t="str">
        <f>IF($R46="","",INDEX(tblCases[社内担当],$R46)&amp;"")</f>
        <v/>
      </c>
      <c r="H46" s="33" t="str">
        <f>IF($R46="","",INDEX(tblCases[営業段階],$R46)&amp;"")</f>
        <v/>
      </c>
      <c r="I46" s="31" t="n"/>
      <c r="J46" s="33" t="str">
        <f>IF($R46="","",INDEX(tblCases[追客状態],$R46)&amp;"")</f>
        <v/>
      </c>
      <c r="K46" s="31" t="n"/>
      <c r="L46" s="34" t="str">
        <f>IF($R46="","",INDEX(tblCases[最終会話・返信],$R46))</f>
        <v/>
      </c>
      <c r="M46" s="31" t="n"/>
      <c r="N46" s="30" t="str">
        <f>IF($R46="","",INDEX(tblCases[注意],$R46)&amp;"")</f>
        <v/>
      </c>
      <c r="O46" s="31" t="n"/>
      <c r="P46" s="31" t="n"/>
      <c r="Q46" s="31" t="n"/>
      <c r="R46" t="str">
        <f>IF(10&gt;COUNTIF(tblCases[未設定対象],1),"",IFERROR(MATCH(10,tblCases[未設定順位],0),""))</f>
        <v/>
      </c>
      <c r="S46" t="str">
        <f>$R46</f>
        <v/>
      </c>
    </row>
    <row r="47" ht="18" customHeight="1">
      <c r="B47" s="35" t="str">
        <f>IF(COUNTIF(tblCases[未設定対象],1)&gt;10,"▲ ほか "&amp;(COUNTIF(tblCases[未設定対象],1)-10)&amp;" 件あります。「02_案件一覧」の注意欄で「次回対応未設定」を絞り込んで確認してください。","")</f>
        <v/>
      </c>
    </row>
    <row r="49" ht="24" customHeight="1">
      <c r="B49" s="26" t="inlineStr">
        <is>
          <t>③ 要確認のタスク　—　期限未設定・連絡停止中・終了案件に残る・入力要確認</t>
        </is>
      </c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7" t="str">
        <f>"表示 "&amp;MIN(10,COUNTIF(tblTasks[一覧3対象],1))&amp;" 件／対象 "&amp;COUNTIF(tblTasks[一覧3対象],1)&amp;" 件"</f>
        <v>表示 0 件／対象 0 件</v>
      </c>
    </row>
    <row r="50" ht="20" customHeight="1">
      <c r="B50" s="28" t="inlineStr">
        <is>
          <t>理由</t>
        </is>
      </c>
      <c r="C50" s="29" t="n"/>
      <c r="D50" s="28" t="inlineStr">
        <is>
          <t>期限</t>
        </is>
      </c>
      <c r="E50" s="28" t="inlineStr">
        <is>
          <t>会社</t>
        </is>
      </c>
      <c r="F50" s="29" t="n"/>
      <c r="G50" s="28" t="inlineStr">
        <is>
          <t>案件</t>
        </is>
      </c>
      <c r="H50" s="29" t="n"/>
      <c r="I50" s="28" t="inlineStr">
        <is>
          <t>内容・確認点</t>
        </is>
      </c>
      <c r="J50" s="29" t="n"/>
      <c r="K50" s="29" t="n"/>
      <c r="L50" s="29" t="n"/>
      <c r="M50" s="28" t="inlineStr">
        <is>
          <t>担当</t>
        </is>
      </c>
      <c r="N50" s="28" t="inlineStr">
        <is>
          <t>区分</t>
        </is>
      </c>
      <c r="O50" s="29" t="n"/>
      <c r="P50" s="28" t="inlineStr">
        <is>
          <t>状態</t>
        </is>
      </c>
      <c r="Q50" s="29" t="n"/>
    </row>
    <row r="51" ht="30" customHeight="1">
      <c r="B51" s="30" t="str">
        <f>IF($R51="","",INDEX(tblTasks[表示区分],$R51)&amp;"")</f>
        <v/>
      </c>
      <c r="C51" s="31" t="n"/>
      <c r="D51" s="32" t="str">
        <f>IF($R51="","",IF(ISNUMBER(INDEX(tblTasks[期限日],$R51)),INDEX(tblTasks[期限日],$R51),"未設定"))</f>
        <v/>
      </c>
      <c r="E51" s="33" t="str">
        <f>IF($R51="","",INDEX(tblTasks[顧客名],$R51)&amp;"")</f>
        <v/>
      </c>
      <c r="F51" s="31" t="n"/>
      <c r="G51" s="33" t="str">
        <f>IF($R51="","",INDEX(tblTasks[案件名],$R51)&amp;"")</f>
        <v/>
      </c>
      <c r="H51" s="31" t="n"/>
      <c r="I51" s="33" t="str">
        <f>IF($R51="",IF(COUNTIF(tblTasks[一覧3対象],1)=0,IF(COUNTIF(tblTasks[タスクID],"?*")=0,"タスク未登録：04_対応タスクに登録すると表示されます","該当なし"),""),IF(INDEX(tblTasks[表示区分],$R51)="入力要確認",INDEX(tblTasks[入力チェック],$R51),INDEX(tblTasks[内容],$R51))&amp;"")</f>
        <v>タスク未登録：04_対応タスクに登録すると表示されます</v>
      </c>
      <c r="J51" s="31" t="n"/>
      <c r="K51" s="31" t="n"/>
      <c r="L51" s="31" t="n"/>
      <c r="M51" s="30" t="str">
        <f>IF($R51="","",INDEX(tblTasks[担当者],$R51)&amp;"")</f>
        <v/>
      </c>
      <c r="N51" s="33" t="str">
        <f>IF($R51="","",INDEX(tblTasks[区分],$R51)&amp;"")</f>
        <v/>
      </c>
      <c r="O51" s="31" t="n"/>
      <c r="P51" s="33" t="str">
        <f>IF($R51="","",INDEX(tblTasks[状態],$R51)&amp;"")</f>
        <v/>
      </c>
      <c r="Q51" s="31" t="n"/>
      <c r="R51" t="str">
        <f>IF(1&gt;COUNTIF(tblTasks[一覧3対象],1),"",IFERROR(MATCH(1,tblTasks[一覧3順位],0),""))</f>
        <v/>
      </c>
      <c r="S51" t="str">
        <f>IF($R51="","",IFERROR(MATCH(INDEX(tblTasks[案件ID],$R51),tblCases[案件ID],0),""))</f>
        <v/>
      </c>
    </row>
    <row r="52" ht="30" customHeight="1">
      <c r="B52" s="30" t="str">
        <f>IF($R52="","",INDEX(tblTasks[表示区分],$R52)&amp;"")</f>
        <v/>
      </c>
      <c r="C52" s="31" t="n"/>
      <c r="D52" s="32" t="str">
        <f>IF($R52="","",IF(ISNUMBER(INDEX(tblTasks[期限日],$R52)),INDEX(tblTasks[期限日],$R52),"未設定"))</f>
        <v/>
      </c>
      <c r="E52" s="33" t="str">
        <f>IF($R52="","",INDEX(tblTasks[顧客名],$R52)&amp;"")</f>
        <v/>
      </c>
      <c r="F52" s="31" t="n"/>
      <c r="G52" s="33" t="str">
        <f>IF($R52="","",INDEX(tblTasks[案件名],$R52)&amp;"")</f>
        <v/>
      </c>
      <c r="H52" s="31" t="n"/>
      <c r="I52" s="33" t="str">
        <f>IF($R52="","",IF(INDEX(tblTasks[表示区分],$R52)="入力要確認",INDEX(tblTasks[入力チェック],$R52),INDEX(tblTasks[内容],$R52))&amp;"")</f>
        <v/>
      </c>
      <c r="J52" s="31" t="n"/>
      <c r="K52" s="31" t="n"/>
      <c r="L52" s="31" t="n"/>
      <c r="M52" s="30" t="str">
        <f>IF($R52="","",INDEX(tblTasks[担当者],$R52)&amp;"")</f>
        <v/>
      </c>
      <c r="N52" s="33" t="str">
        <f>IF($R52="","",INDEX(tblTasks[区分],$R52)&amp;"")</f>
        <v/>
      </c>
      <c r="O52" s="31" t="n"/>
      <c r="P52" s="33" t="str">
        <f>IF($R52="","",INDEX(tblTasks[状態],$R52)&amp;"")</f>
        <v/>
      </c>
      <c r="Q52" s="31" t="n"/>
      <c r="R52" t="str">
        <f>IF(2&gt;COUNTIF(tblTasks[一覧3対象],1),"",IFERROR(MATCH(2,tblTasks[一覧3順位],0),""))</f>
        <v/>
      </c>
      <c r="S52" t="str">
        <f>IF($R52="","",IFERROR(MATCH(INDEX(tblTasks[案件ID],$R52),tblCases[案件ID],0),""))</f>
        <v/>
      </c>
    </row>
    <row r="53" ht="30" customHeight="1">
      <c r="B53" s="30" t="str">
        <f>IF($R53="","",INDEX(tblTasks[表示区分],$R53)&amp;"")</f>
        <v/>
      </c>
      <c r="C53" s="31" t="n"/>
      <c r="D53" s="32" t="str">
        <f>IF($R53="","",IF(ISNUMBER(INDEX(tblTasks[期限日],$R53)),INDEX(tblTasks[期限日],$R53),"未設定"))</f>
        <v/>
      </c>
      <c r="E53" s="33" t="str">
        <f>IF($R53="","",INDEX(tblTasks[顧客名],$R53)&amp;"")</f>
        <v/>
      </c>
      <c r="F53" s="31" t="n"/>
      <c r="G53" s="33" t="str">
        <f>IF($R53="","",INDEX(tblTasks[案件名],$R53)&amp;"")</f>
        <v/>
      </c>
      <c r="H53" s="31" t="n"/>
      <c r="I53" s="33" t="str">
        <f>IF($R53="","",IF(INDEX(tblTasks[表示区分],$R53)="入力要確認",INDEX(tblTasks[入力チェック],$R53),INDEX(tblTasks[内容],$R53))&amp;"")</f>
        <v/>
      </c>
      <c r="J53" s="31" t="n"/>
      <c r="K53" s="31" t="n"/>
      <c r="L53" s="31" t="n"/>
      <c r="M53" s="30" t="str">
        <f>IF($R53="","",INDEX(tblTasks[担当者],$R53)&amp;"")</f>
        <v/>
      </c>
      <c r="N53" s="33" t="str">
        <f>IF($R53="","",INDEX(tblTasks[区分],$R53)&amp;"")</f>
        <v/>
      </c>
      <c r="O53" s="31" t="n"/>
      <c r="P53" s="33" t="str">
        <f>IF($R53="","",INDEX(tblTasks[状態],$R53)&amp;"")</f>
        <v/>
      </c>
      <c r="Q53" s="31" t="n"/>
      <c r="R53" t="str">
        <f>IF(3&gt;COUNTIF(tblTasks[一覧3対象],1),"",IFERROR(MATCH(3,tblTasks[一覧3順位],0),""))</f>
        <v/>
      </c>
      <c r="S53" t="str">
        <f>IF($R53="","",IFERROR(MATCH(INDEX(tblTasks[案件ID],$R53),tblCases[案件ID],0),""))</f>
        <v/>
      </c>
    </row>
    <row r="54" ht="30" customHeight="1">
      <c r="B54" s="30" t="str">
        <f>IF($R54="","",INDEX(tblTasks[表示区分],$R54)&amp;"")</f>
        <v/>
      </c>
      <c r="C54" s="31" t="n"/>
      <c r="D54" s="32" t="str">
        <f>IF($R54="","",IF(ISNUMBER(INDEX(tblTasks[期限日],$R54)),INDEX(tblTasks[期限日],$R54),"未設定"))</f>
        <v/>
      </c>
      <c r="E54" s="33" t="str">
        <f>IF($R54="","",INDEX(tblTasks[顧客名],$R54)&amp;"")</f>
        <v/>
      </c>
      <c r="F54" s="31" t="n"/>
      <c r="G54" s="33" t="str">
        <f>IF($R54="","",INDEX(tblTasks[案件名],$R54)&amp;"")</f>
        <v/>
      </c>
      <c r="H54" s="31" t="n"/>
      <c r="I54" s="33" t="str">
        <f>IF($R54="","",IF(INDEX(tblTasks[表示区分],$R54)="入力要確認",INDEX(tblTasks[入力チェック],$R54),INDEX(tblTasks[内容],$R54))&amp;"")</f>
        <v/>
      </c>
      <c r="J54" s="31" t="n"/>
      <c r="K54" s="31" t="n"/>
      <c r="L54" s="31" t="n"/>
      <c r="M54" s="30" t="str">
        <f>IF($R54="","",INDEX(tblTasks[担当者],$R54)&amp;"")</f>
        <v/>
      </c>
      <c r="N54" s="33" t="str">
        <f>IF($R54="","",INDEX(tblTasks[区分],$R54)&amp;"")</f>
        <v/>
      </c>
      <c r="O54" s="31" t="n"/>
      <c r="P54" s="33" t="str">
        <f>IF($R54="","",INDEX(tblTasks[状態],$R54)&amp;"")</f>
        <v/>
      </c>
      <c r="Q54" s="31" t="n"/>
      <c r="R54" t="str">
        <f>IF(4&gt;COUNTIF(tblTasks[一覧3対象],1),"",IFERROR(MATCH(4,tblTasks[一覧3順位],0),""))</f>
        <v/>
      </c>
      <c r="S54" t="str">
        <f>IF($R54="","",IFERROR(MATCH(INDEX(tblTasks[案件ID],$R54),tblCases[案件ID],0),""))</f>
        <v/>
      </c>
    </row>
    <row r="55" ht="30" customHeight="1">
      <c r="B55" s="30" t="str">
        <f>IF($R55="","",INDEX(tblTasks[表示区分],$R55)&amp;"")</f>
        <v/>
      </c>
      <c r="C55" s="31" t="n"/>
      <c r="D55" s="32" t="str">
        <f>IF($R55="","",IF(ISNUMBER(INDEX(tblTasks[期限日],$R55)),INDEX(tblTasks[期限日],$R55),"未設定"))</f>
        <v/>
      </c>
      <c r="E55" s="33" t="str">
        <f>IF($R55="","",INDEX(tblTasks[顧客名],$R55)&amp;"")</f>
        <v/>
      </c>
      <c r="F55" s="31" t="n"/>
      <c r="G55" s="33" t="str">
        <f>IF($R55="","",INDEX(tblTasks[案件名],$R55)&amp;"")</f>
        <v/>
      </c>
      <c r="H55" s="31" t="n"/>
      <c r="I55" s="33" t="str">
        <f>IF($R55="","",IF(INDEX(tblTasks[表示区分],$R55)="入力要確認",INDEX(tblTasks[入力チェック],$R55),INDEX(tblTasks[内容],$R55))&amp;"")</f>
        <v/>
      </c>
      <c r="J55" s="31" t="n"/>
      <c r="K55" s="31" t="n"/>
      <c r="L55" s="31" t="n"/>
      <c r="M55" s="30" t="str">
        <f>IF($R55="","",INDEX(tblTasks[担当者],$R55)&amp;"")</f>
        <v/>
      </c>
      <c r="N55" s="33" t="str">
        <f>IF($R55="","",INDEX(tblTasks[区分],$R55)&amp;"")</f>
        <v/>
      </c>
      <c r="O55" s="31" t="n"/>
      <c r="P55" s="33" t="str">
        <f>IF($R55="","",INDEX(tblTasks[状態],$R55)&amp;"")</f>
        <v/>
      </c>
      <c r="Q55" s="31" t="n"/>
      <c r="R55" t="str">
        <f>IF(5&gt;COUNTIF(tblTasks[一覧3対象],1),"",IFERROR(MATCH(5,tblTasks[一覧3順位],0),""))</f>
        <v/>
      </c>
      <c r="S55" t="str">
        <f>IF($R55="","",IFERROR(MATCH(INDEX(tblTasks[案件ID],$R55),tblCases[案件ID],0),""))</f>
        <v/>
      </c>
    </row>
    <row r="56" ht="30" customHeight="1">
      <c r="B56" s="30" t="str">
        <f>IF($R56="","",INDEX(tblTasks[表示区分],$R56)&amp;"")</f>
        <v/>
      </c>
      <c r="C56" s="31" t="n"/>
      <c r="D56" s="32" t="str">
        <f>IF($R56="","",IF(ISNUMBER(INDEX(tblTasks[期限日],$R56)),INDEX(tblTasks[期限日],$R56),"未設定"))</f>
        <v/>
      </c>
      <c r="E56" s="33" t="str">
        <f>IF($R56="","",INDEX(tblTasks[顧客名],$R56)&amp;"")</f>
        <v/>
      </c>
      <c r="F56" s="31" t="n"/>
      <c r="G56" s="33" t="str">
        <f>IF($R56="","",INDEX(tblTasks[案件名],$R56)&amp;"")</f>
        <v/>
      </c>
      <c r="H56" s="31" t="n"/>
      <c r="I56" s="33" t="str">
        <f>IF($R56="","",IF(INDEX(tblTasks[表示区分],$R56)="入力要確認",INDEX(tblTasks[入力チェック],$R56),INDEX(tblTasks[内容],$R56))&amp;"")</f>
        <v/>
      </c>
      <c r="J56" s="31" t="n"/>
      <c r="K56" s="31" t="n"/>
      <c r="L56" s="31" t="n"/>
      <c r="M56" s="30" t="str">
        <f>IF($R56="","",INDEX(tblTasks[担当者],$R56)&amp;"")</f>
        <v/>
      </c>
      <c r="N56" s="33" t="str">
        <f>IF($R56="","",INDEX(tblTasks[区分],$R56)&amp;"")</f>
        <v/>
      </c>
      <c r="O56" s="31" t="n"/>
      <c r="P56" s="33" t="str">
        <f>IF($R56="","",INDEX(tblTasks[状態],$R56)&amp;"")</f>
        <v/>
      </c>
      <c r="Q56" s="31" t="n"/>
      <c r="R56" t="str">
        <f>IF(6&gt;COUNTIF(tblTasks[一覧3対象],1),"",IFERROR(MATCH(6,tblTasks[一覧3順位],0),""))</f>
        <v/>
      </c>
      <c r="S56" t="str">
        <f>IF($R56="","",IFERROR(MATCH(INDEX(tblTasks[案件ID],$R56),tblCases[案件ID],0),""))</f>
        <v/>
      </c>
    </row>
    <row r="57" ht="30" customHeight="1">
      <c r="B57" s="30" t="str">
        <f>IF($R57="","",INDEX(tblTasks[表示区分],$R57)&amp;"")</f>
        <v/>
      </c>
      <c r="C57" s="31" t="n"/>
      <c r="D57" s="32" t="str">
        <f>IF($R57="","",IF(ISNUMBER(INDEX(tblTasks[期限日],$R57)),INDEX(tblTasks[期限日],$R57),"未設定"))</f>
        <v/>
      </c>
      <c r="E57" s="33" t="str">
        <f>IF($R57="","",INDEX(tblTasks[顧客名],$R57)&amp;"")</f>
        <v/>
      </c>
      <c r="F57" s="31" t="n"/>
      <c r="G57" s="33" t="str">
        <f>IF($R57="","",INDEX(tblTasks[案件名],$R57)&amp;"")</f>
        <v/>
      </c>
      <c r="H57" s="31" t="n"/>
      <c r="I57" s="33" t="str">
        <f>IF($R57="","",IF(INDEX(tblTasks[表示区分],$R57)="入力要確認",INDEX(tblTasks[入力チェック],$R57),INDEX(tblTasks[内容],$R57))&amp;"")</f>
        <v/>
      </c>
      <c r="J57" s="31" t="n"/>
      <c r="K57" s="31" t="n"/>
      <c r="L57" s="31" t="n"/>
      <c r="M57" s="30" t="str">
        <f>IF($R57="","",INDEX(tblTasks[担当者],$R57)&amp;"")</f>
        <v/>
      </c>
      <c r="N57" s="33" t="str">
        <f>IF($R57="","",INDEX(tblTasks[区分],$R57)&amp;"")</f>
        <v/>
      </c>
      <c r="O57" s="31" t="n"/>
      <c r="P57" s="33" t="str">
        <f>IF($R57="","",INDEX(tblTasks[状態],$R57)&amp;"")</f>
        <v/>
      </c>
      <c r="Q57" s="31" t="n"/>
      <c r="R57" t="str">
        <f>IF(7&gt;COUNTIF(tblTasks[一覧3対象],1),"",IFERROR(MATCH(7,tblTasks[一覧3順位],0),""))</f>
        <v/>
      </c>
      <c r="S57" t="str">
        <f>IF($R57="","",IFERROR(MATCH(INDEX(tblTasks[案件ID],$R57),tblCases[案件ID],0),""))</f>
        <v/>
      </c>
    </row>
    <row r="58" ht="30" customHeight="1">
      <c r="B58" s="30" t="str">
        <f>IF($R58="","",INDEX(tblTasks[表示区分],$R58)&amp;"")</f>
        <v/>
      </c>
      <c r="C58" s="31" t="n"/>
      <c r="D58" s="32" t="str">
        <f>IF($R58="","",IF(ISNUMBER(INDEX(tblTasks[期限日],$R58)),INDEX(tblTasks[期限日],$R58),"未設定"))</f>
        <v/>
      </c>
      <c r="E58" s="33" t="str">
        <f>IF($R58="","",INDEX(tblTasks[顧客名],$R58)&amp;"")</f>
        <v/>
      </c>
      <c r="F58" s="31" t="n"/>
      <c r="G58" s="33" t="str">
        <f>IF($R58="","",INDEX(tblTasks[案件名],$R58)&amp;"")</f>
        <v/>
      </c>
      <c r="H58" s="31" t="n"/>
      <c r="I58" s="33" t="str">
        <f>IF($R58="","",IF(INDEX(tblTasks[表示区分],$R58)="入力要確認",INDEX(tblTasks[入力チェック],$R58),INDEX(tblTasks[内容],$R58))&amp;"")</f>
        <v/>
      </c>
      <c r="J58" s="31" t="n"/>
      <c r="K58" s="31" t="n"/>
      <c r="L58" s="31" t="n"/>
      <c r="M58" s="30" t="str">
        <f>IF($R58="","",INDEX(tblTasks[担当者],$R58)&amp;"")</f>
        <v/>
      </c>
      <c r="N58" s="33" t="str">
        <f>IF($R58="","",INDEX(tblTasks[区分],$R58)&amp;"")</f>
        <v/>
      </c>
      <c r="O58" s="31" t="n"/>
      <c r="P58" s="33" t="str">
        <f>IF($R58="","",INDEX(tblTasks[状態],$R58)&amp;"")</f>
        <v/>
      </c>
      <c r="Q58" s="31" t="n"/>
      <c r="R58" t="str">
        <f>IF(8&gt;COUNTIF(tblTasks[一覧3対象],1),"",IFERROR(MATCH(8,tblTasks[一覧3順位],0),""))</f>
        <v/>
      </c>
      <c r="S58" t="str">
        <f>IF($R58="","",IFERROR(MATCH(INDEX(tblTasks[案件ID],$R58),tblCases[案件ID],0),""))</f>
        <v/>
      </c>
    </row>
    <row r="59" ht="30" customHeight="1">
      <c r="B59" s="30" t="str">
        <f>IF($R59="","",INDEX(tblTasks[表示区分],$R59)&amp;"")</f>
        <v/>
      </c>
      <c r="C59" s="31" t="n"/>
      <c r="D59" s="32" t="str">
        <f>IF($R59="","",IF(ISNUMBER(INDEX(tblTasks[期限日],$R59)),INDEX(tblTasks[期限日],$R59),"未設定"))</f>
        <v/>
      </c>
      <c r="E59" s="33" t="str">
        <f>IF($R59="","",INDEX(tblTasks[顧客名],$R59)&amp;"")</f>
        <v/>
      </c>
      <c r="F59" s="31" t="n"/>
      <c r="G59" s="33" t="str">
        <f>IF($R59="","",INDEX(tblTasks[案件名],$R59)&amp;"")</f>
        <v/>
      </c>
      <c r="H59" s="31" t="n"/>
      <c r="I59" s="33" t="str">
        <f>IF($R59="","",IF(INDEX(tblTasks[表示区分],$R59)="入力要確認",INDEX(tblTasks[入力チェック],$R59),INDEX(tblTasks[内容],$R59))&amp;"")</f>
        <v/>
      </c>
      <c r="J59" s="31" t="n"/>
      <c r="K59" s="31" t="n"/>
      <c r="L59" s="31" t="n"/>
      <c r="M59" s="30" t="str">
        <f>IF($R59="","",INDEX(tblTasks[担当者],$R59)&amp;"")</f>
        <v/>
      </c>
      <c r="N59" s="33" t="str">
        <f>IF($R59="","",INDEX(tblTasks[区分],$R59)&amp;"")</f>
        <v/>
      </c>
      <c r="O59" s="31" t="n"/>
      <c r="P59" s="33" t="str">
        <f>IF($R59="","",INDEX(tblTasks[状態],$R59)&amp;"")</f>
        <v/>
      </c>
      <c r="Q59" s="31" t="n"/>
      <c r="R59" t="str">
        <f>IF(9&gt;COUNTIF(tblTasks[一覧3対象],1),"",IFERROR(MATCH(9,tblTasks[一覧3順位],0),""))</f>
        <v/>
      </c>
      <c r="S59" t="str">
        <f>IF($R59="","",IFERROR(MATCH(INDEX(tblTasks[案件ID],$R59),tblCases[案件ID],0),""))</f>
        <v/>
      </c>
    </row>
    <row r="60" ht="30" customHeight="1">
      <c r="B60" s="30" t="str">
        <f>IF($R60="","",INDEX(tblTasks[表示区分],$R60)&amp;"")</f>
        <v/>
      </c>
      <c r="C60" s="31" t="n"/>
      <c r="D60" s="32" t="str">
        <f>IF($R60="","",IF(ISNUMBER(INDEX(tblTasks[期限日],$R60)),INDEX(tblTasks[期限日],$R60),"未設定"))</f>
        <v/>
      </c>
      <c r="E60" s="33" t="str">
        <f>IF($R60="","",INDEX(tblTasks[顧客名],$R60)&amp;"")</f>
        <v/>
      </c>
      <c r="F60" s="31" t="n"/>
      <c r="G60" s="33" t="str">
        <f>IF($R60="","",INDEX(tblTasks[案件名],$R60)&amp;"")</f>
        <v/>
      </c>
      <c r="H60" s="31" t="n"/>
      <c r="I60" s="33" t="str">
        <f>IF($R60="","",IF(INDEX(tblTasks[表示区分],$R60)="入力要確認",INDEX(tblTasks[入力チェック],$R60),INDEX(tblTasks[内容],$R60))&amp;"")</f>
        <v/>
      </c>
      <c r="J60" s="31" t="n"/>
      <c r="K60" s="31" t="n"/>
      <c r="L60" s="31" t="n"/>
      <c r="M60" s="30" t="str">
        <f>IF($R60="","",INDEX(tblTasks[担当者],$R60)&amp;"")</f>
        <v/>
      </c>
      <c r="N60" s="33" t="str">
        <f>IF($R60="","",INDEX(tblTasks[区分],$R60)&amp;"")</f>
        <v/>
      </c>
      <c r="O60" s="31" t="n"/>
      <c r="P60" s="33" t="str">
        <f>IF($R60="","",INDEX(tblTasks[状態],$R60)&amp;"")</f>
        <v/>
      </c>
      <c r="Q60" s="31" t="n"/>
      <c r="R60" t="str">
        <f>IF(10&gt;COUNTIF(tblTasks[一覧3対象],1),"",IFERROR(MATCH(10,tblTasks[一覧3順位],0),""))</f>
        <v/>
      </c>
      <c r="S60" t="str">
        <f>IF($R60="","",IFERROR(MATCH(INDEX(tblTasks[案件ID],$R60),tblCases[案件ID],0),""))</f>
        <v/>
      </c>
    </row>
    <row r="61" ht="18" customHeight="1">
      <c r="B61" s="35" t="str">
        <f>IF(COUNTIF(tblTasks[一覧3対象],1)&gt;10,"▲ ほか "&amp;(COUNTIF(tblTasks[一覧3対象],1)-10)&amp;" 件あります。「04_対応タスク」の表示区分で絞り込んで確認してください。","")</f>
        <v/>
      </c>
    </row>
    <row r="63" ht="24" customHeight="1">
      <c r="B63" s="26" t="inlineStr">
        <is>
          <t>④ 今後の予定（基準日の翌日〜設定日数）</t>
        </is>
      </c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7" t="str">
        <f>"表示 "&amp;MIN(10,COUNTIF(tblTasks[一覧4対象],1))&amp;" 件／対象 "&amp;COUNTIF(tblTasks[一覧4対象],1)&amp;" 件"</f>
        <v>表示 0 件／対象 0 件</v>
      </c>
    </row>
    <row r="64" ht="20" customHeight="1">
      <c r="B64" s="28" t="inlineStr">
        <is>
          <t>残り</t>
        </is>
      </c>
      <c r="C64" s="29" t="n"/>
      <c r="D64" s="28" t="inlineStr">
        <is>
          <t>期限</t>
        </is>
      </c>
      <c r="E64" s="28" t="inlineStr">
        <is>
          <t>会社</t>
        </is>
      </c>
      <c r="F64" s="29" t="n"/>
      <c r="G64" s="28" t="inlineStr">
        <is>
          <t>案件</t>
        </is>
      </c>
      <c r="H64" s="29" t="n"/>
      <c r="I64" s="28" t="inlineStr">
        <is>
          <t>次のアクション</t>
        </is>
      </c>
      <c r="J64" s="29" t="n"/>
      <c r="K64" s="29" t="n"/>
      <c r="L64" s="29" t="n"/>
      <c r="M64" s="28" t="inlineStr">
        <is>
          <t>担当</t>
        </is>
      </c>
      <c r="N64" s="28" t="inlineStr">
        <is>
          <t>案件の状態</t>
        </is>
      </c>
      <c r="O64" s="29" t="n"/>
      <c r="P64" s="28" t="inlineStr">
        <is>
          <t>最終会話・返信</t>
        </is>
      </c>
      <c r="Q64" s="29" t="n"/>
    </row>
    <row r="65" ht="30" customHeight="1">
      <c r="B65" s="30" t="str">
        <f>IF($R65="","","あと"&amp;(INT(INDEX(tblTasks[期限日],$R65))-RefDate)&amp;"日")</f>
        <v/>
      </c>
      <c r="C65" s="31" t="n"/>
      <c r="D65" s="32" t="str">
        <f>IF($R65="","",INDEX(tblTasks[期限日],$R65))</f>
        <v/>
      </c>
      <c r="E65" s="33" t="str">
        <f>IF($R65="","",INDEX(tblTasks[顧客名],$R65)&amp;"")</f>
        <v/>
      </c>
      <c r="F65" s="31" t="n"/>
      <c r="G65" s="33" t="str">
        <f>IF($R65="","",INDEX(tblTasks[案件名],$R65)&amp;"")</f>
        <v/>
      </c>
      <c r="H65" s="31" t="n"/>
      <c r="I65" s="33" t="str">
        <f>IF($R65="",IF(COUNTIF(tblTasks[一覧4対象],1)=0,IF(COUNTIF(tblTasks[タスクID],"?*")=0,"タスク未登録：04_対応タスクに登録すると表示されます","該当なし"),""),IF(INDEX(tblTasks[区分],$R65)="社内確認","社内：","連絡：")&amp;INDEX(tblTasks[内容],$R65))</f>
        <v>タスク未登録：04_対応タスクに登録すると表示されます</v>
      </c>
      <c r="J65" s="31" t="n"/>
      <c r="K65" s="31" t="n"/>
      <c r="L65" s="31" t="n"/>
      <c r="M65" s="30" t="str">
        <f>IF($R65="","",INDEX(tblTasks[担当者],$R65)&amp;"")</f>
        <v/>
      </c>
      <c r="N65" s="33" t="str">
        <f>IF($R65="","",IF($S65="","",INDEX(tblCases[営業段階],$S65)&amp;"・"&amp;INDEX(tblCases[追客状態],$S65)))</f>
        <v/>
      </c>
      <c r="O65" s="31" t="n"/>
      <c r="P65" s="34" t="str">
        <f>IF($R65="","",IF($S65="","",INDEX(tblCases[最終会話・返信],$S65)))</f>
        <v/>
      </c>
      <c r="Q65" s="31" t="n"/>
      <c r="R65" t="str">
        <f>IF(1&gt;COUNTIF(tblTasks[一覧4対象],1),"",IFERROR(MATCH(1,tblTasks[一覧4順位],0),""))</f>
        <v/>
      </c>
      <c r="S65" t="str">
        <f>IF($R65="","",IFERROR(MATCH(INDEX(tblTasks[案件ID],$R65),tblCases[案件ID],0),""))</f>
        <v/>
      </c>
    </row>
    <row r="66" ht="30" customHeight="1">
      <c r="B66" s="30" t="str">
        <f>IF($R66="","","あと"&amp;(INT(INDEX(tblTasks[期限日],$R66))-RefDate)&amp;"日")</f>
        <v/>
      </c>
      <c r="C66" s="31" t="n"/>
      <c r="D66" s="32" t="str">
        <f>IF($R66="","",INDEX(tblTasks[期限日],$R66))</f>
        <v/>
      </c>
      <c r="E66" s="33" t="str">
        <f>IF($R66="","",INDEX(tblTasks[顧客名],$R66)&amp;"")</f>
        <v/>
      </c>
      <c r="F66" s="31" t="n"/>
      <c r="G66" s="33" t="str">
        <f>IF($R66="","",INDEX(tblTasks[案件名],$R66)&amp;"")</f>
        <v/>
      </c>
      <c r="H66" s="31" t="n"/>
      <c r="I66" s="33" t="str">
        <f>IF($R66="","",IF(INDEX(tblTasks[区分],$R66)="社内確認","社内：","連絡：")&amp;INDEX(tblTasks[内容],$R66))</f>
        <v/>
      </c>
      <c r="J66" s="31" t="n"/>
      <c r="K66" s="31" t="n"/>
      <c r="L66" s="31" t="n"/>
      <c r="M66" s="30" t="str">
        <f>IF($R66="","",INDEX(tblTasks[担当者],$R66)&amp;"")</f>
        <v/>
      </c>
      <c r="N66" s="33" t="str">
        <f>IF($R66="","",IF($S66="","",INDEX(tblCases[営業段階],$S66)&amp;"・"&amp;INDEX(tblCases[追客状態],$S66)))</f>
        <v/>
      </c>
      <c r="O66" s="31" t="n"/>
      <c r="P66" s="34" t="str">
        <f>IF($R66="","",IF($S66="","",INDEX(tblCases[最終会話・返信],$S66)))</f>
        <v/>
      </c>
      <c r="Q66" s="31" t="n"/>
      <c r="R66" t="str">
        <f>IF(2&gt;COUNTIF(tblTasks[一覧4対象],1),"",IFERROR(MATCH(2,tblTasks[一覧4順位],0),""))</f>
        <v/>
      </c>
      <c r="S66" t="str">
        <f>IF($R66="","",IFERROR(MATCH(INDEX(tblTasks[案件ID],$R66),tblCases[案件ID],0),""))</f>
        <v/>
      </c>
    </row>
    <row r="67" ht="30" customHeight="1">
      <c r="B67" s="30" t="str">
        <f>IF($R67="","","あと"&amp;(INT(INDEX(tblTasks[期限日],$R67))-RefDate)&amp;"日")</f>
        <v/>
      </c>
      <c r="C67" s="31" t="n"/>
      <c r="D67" s="32" t="str">
        <f>IF($R67="","",INDEX(tblTasks[期限日],$R67))</f>
        <v/>
      </c>
      <c r="E67" s="33" t="str">
        <f>IF($R67="","",INDEX(tblTasks[顧客名],$R67)&amp;"")</f>
        <v/>
      </c>
      <c r="F67" s="31" t="n"/>
      <c r="G67" s="33" t="str">
        <f>IF($R67="","",INDEX(tblTasks[案件名],$R67)&amp;"")</f>
        <v/>
      </c>
      <c r="H67" s="31" t="n"/>
      <c r="I67" s="33" t="str">
        <f>IF($R67="","",IF(INDEX(tblTasks[区分],$R67)="社内確認","社内：","連絡：")&amp;INDEX(tblTasks[内容],$R67))</f>
        <v/>
      </c>
      <c r="J67" s="31" t="n"/>
      <c r="K67" s="31" t="n"/>
      <c r="L67" s="31" t="n"/>
      <c r="M67" s="30" t="str">
        <f>IF($R67="","",INDEX(tblTasks[担当者],$R67)&amp;"")</f>
        <v/>
      </c>
      <c r="N67" s="33" t="str">
        <f>IF($R67="","",IF($S67="","",INDEX(tblCases[営業段階],$S67)&amp;"・"&amp;INDEX(tblCases[追客状態],$S67)))</f>
        <v/>
      </c>
      <c r="O67" s="31" t="n"/>
      <c r="P67" s="34" t="str">
        <f>IF($R67="","",IF($S67="","",INDEX(tblCases[最終会話・返信],$S67)))</f>
        <v/>
      </c>
      <c r="Q67" s="31" t="n"/>
      <c r="R67" t="str">
        <f>IF(3&gt;COUNTIF(tblTasks[一覧4対象],1),"",IFERROR(MATCH(3,tblTasks[一覧4順位],0),""))</f>
        <v/>
      </c>
      <c r="S67" t="str">
        <f>IF($R67="","",IFERROR(MATCH(INDEX(tblTasks[案件ID],$R67),tblCases[案件ID],0),""))</f>
        <v/>
      </c>
    </row>
    <row r="68" ht="30" customHeight="1">
      <c r="B68" s="30" t="str">
        <f>IF($R68="","","あと"&amp;(INT(INDEX(tblTasks[期限日],$R68))-RefDate)&amp;"日")</f>
        <v/>
      </c>
      <c r="C68" s="31" t="n"/>
      <c r="D68" s="32" t="str">
        <f>IF($R68="","",INDEX(tblTasks[期限日],$R68))</f>
        <v/>
      </c>
      <c r="E68" s="33" t="str">
        <f>IF($R68="","",INDEX(tblTasks[顧客名],$R68)&amp;"")</f>
        <v/>
      </c>
      <c r="F68" s="31" t="n"/>
      <c r="G68" s="33" t="str">
        <f>IF($R68="","",INDEX(tblTasks[案件名],$R68)&amp;"")</f>
        <v/>
      </c>
      <c r="H68" s="31" t="n"/>
      <c r="I68" s="33" t="str">
        <f>IF($R68="","",IF(INDEX(tblTasks[区分],$R68)="社内確認","社内：","連絡：")&amp;INDEX(tblTasks[内容],$R68))</f>
        <v/>
      </c>
      <c r="J68" s="31" t="n"/>
      <c r="K68" s="31" t="n"/>
      <c r="L68" s="31" t="n"/>
      <c r="M68" s="30" t="str">
        <f>IF($R68="","",INDEX(tblTasks[担当者],$R68)&amp;"")</f>
        <v/>
      </c>
      <c r="N68" s="33" t="str">
        <f>IF($R68="","",IF($S68="","",INDEX(tblCases[営業段階],$S68)&amp;"・"&amp;INDEX(tblCases[追客状態],$S68)))</f>
        <v/>
      </c>
      <c r="O68" s="31" t="n"/>
      <c r="P68" s="34" t="str">
        <f>IF($R68="","",IF($S68="","",INDEX(tblCases[最終会話・返信],$S68)))</f>
        <v/>
      </c>
      <c r="Q68" s="31" t="n"/>
      <c r="R68" t="str">
        <f>IF(4&gt;COUNTIF(tblTasks[一覧4対象],1),"",IFERROR(MATCH(4,tblTasks[一覧4順位],0),""))</f>
        <v/>
      </c>
      <c r="S68" t="str">
        <f>IF($R68="","",IFERROR(MATCH(INDEX(tblTasks[案件ID],$R68),tblCases[案件ID],0),""))</f>
        <v/>
      </c>
    </row>
    <row r="69" ht="30" customHeight="1">
      <c r="B69" s="30" t="str">
        <f>IF($R69="","","あと"&amp;(INT(INDEX(tblTasks[期限日],$R69))-RefDate)&amp;"日")</f>
        <v/>
      </c>
      <c r="C69" s="31" t="n"/>
      <c r="D69" s="32" t="str">
        <f>IF($R69="","",INDEX(tblTasks[期限日],$R69))</f>
        <v/>
      </c>
      <c r="E69" s="33" t="str">
        <f>IF($R69="","",INDEX(tblTasks[顧客名],$R69)&amp;"")</f>
        <v/>
      </c>
      <c r="F69" s="31" t="n"/>
      <c r="G69" s="33" t="str">
        <f>IF($R69="","",INDEX(tblTasks[案件名],$R69)&amp;"")</f>
        <v/>
      </c>
      <c r="H69" s="31" t="n"/>
      <c r="I69" s="33" t="str">
        <f>IF($R69="","",IF(INDEX(tblTasks[区分],$R69)="社内確認","社内：","連絡：")&amp;INDEX(tblTasks[内容],$R69))</f>
        <v/>
      </c>
      <c r="J69" s="31" t="n"/>
      <c r="K69" s="31" t="n"/>
      <c r="L69" s="31" t="n"/>
      <c r="M69" s="30" t="str">
        <f>IF($R69="","",INDEX(tblTasks[担当者],$R69)&amp;"")</f>
        <v/>
      </c>
      <c r="N69" s="33" t="str">
        <f>IF($R69="","",IF($S69="","",INDEX(tblCases[営業段階],$S69)&amp;"・"&amp;INDEX(tblCases[追客状態],$S69)))</f>
        <v/>
      </c>
      <c r="O69" s="31" t="n"/>
      <c r="P69" s="34" t="str">
        <f>IF($R69="","",IF($S69="","",INDEX(tblCases[最終会話・返信],$S69)))</f>
        <v/>
      </c>
      <c r="Q69" s="31" t="n"/>
      <c r="R69" t="str">
        <f>IF(5&gt;COUNTIF(tblTasks[一覧4対象],1),"",IFERROR(MATCH(5,tblTasks[一覧4順位],0),""))</f>
        <v/>
      </c>
      <c r="S69" t="str">
        <f>IF($R69="","",IFERROR(MATCH(INDEX(tblTasks[案件ID],$R69),tblCases[案件ID],0),""))</f>
        <v/>
      </c>
    </row>
    <row r="70" ht="30" customHeight="1">
      <c r="B70" s="30" t="str">
        <f>IF($R70="","","あと"&amp;(INT(INDEX(tblTasks[期限日],$R70))-RefDate)&amp;"日")</f>
        <v/>
      </c>
      <c r="C70" s="31" t="n"/>
      <c r="D70" s="32" t="str">
        <f>IF($R70="","",INDEX(tblTasks[期限日],$R70))</f>
        <v/>
      </c>
      <c r="E70" s="33" t="str">
        <f>IF($R70="","",INDEX(tblTasks[顧客名],$R70)&amp;"")</f>
        <v/>
      </c>
      <c r="F70" s="31" t="n"/>
      <c r="G70" s="33" t="str">
        <f>IF($R70="","",INDEX(tblTasks[案件名],$R70)&amp;"")</f>
        <v/>
      </c>
      <c r="H70" s="31" t="n"/>
      <c r="I70" s="33" t="str">
        <f>IF($R70="","",IF(INDEX(tblTasks[区分],$R70)="社内確認","社内：","連絡：")&amp;INDEX(tblTasks[内容],$R70))</f>
        <v/>
      </c>
      <c r="J70" s="31" t="n"/>
      <c r="K70" s="31" t="n"/>
      <c r="L70" s="31" t="n"/>
      <c r="M70" s="30" t="str">
        <f>IF($R70="","",INDEX(tblTasks[担当者],$R70)&amp;"")</f>
        <v/>
      </c>
      <c r="N70" s="33" t="str">
        <f>IF($R70="","",IF($S70="","",INDEX(tblCases[営業段階],$S70)&amp;"・"&amp;INDEX(tblCases[追客状態],$S70)))</f>
        <v/>
      </c>
      <c r="O70" s="31" t="n"/>
      <c r="P70" s="34" t="str">
        <f>IF($R70="","",IF($S70="","",INDEX(tblCases[最終会話・返信],$S70)))</f>
        <v/>
      </c>
      <c r="Q70" s="31" t="n"/>
      <c r="R70" t="str">
        <f>IF(6&gt;COUNTIF(tblTasks[一覧4対象],1),"",IFERROR(MATCH(6,tblTasks[一覧4順位],0),""))</f>
        <v/>
      </c>
      <c r="S70" t="str">
        <f>IF($R70="","",IFERROR(MATCH(INDEX(tblTasks[案件ID],$R70),tblCases[案件ID],0),""))</f>
        <v/>
      </c>
    </row>
    <row r="71" ht="30" customHeight="1">
      <c r="B71" s="30" t="str">
        <f>IF($R71="","","あと"&amp;(INT(INDEX(tblTasks[期限日],$R71))-RefDate)&amp;"日")</f>
        <v/>
      </c>
      <c r="C71" s="31" t="n"/>
      <c r="D71" s="32" t="str">
        <f>IF($R71="","",INDEX(tblTasks[期限日],$R71))</f>
        <v/>
      </c>
      <c r="E71" s="33" t="str">
        <f>IF($R71="","",INDEX(tblTasks[顧客名],$R71)&amp;"")</f>
        <v/>
      </c>
      <c r="F71" s="31" t="n"/>
      <c r="G71" s="33" t="str">
        <f>IF($R71="","",INDEX(tblTasks[案件名],$R71)&amp;"")</f>
        <v/>
      </c>
      <c r="H71" s="31" t="n"/>
      <c r="I71" s="33" t="str">
        <f>IF($R71="","",IF(INDEX(tblTasks[区分],$R71)="社内確認","社内：","連絡：")&amp;INDEX(tblTasks[内容],$R71))</f>
        <v/>
      </c>
      <c r="J71" s="31" t="n"/>
      <c r="K71" s="31" t="n"/>
      <c r="L71" s="31" t="n"/>
      <c r="M71" s="30" t="str">
        <f>IF($R71="","",INDEX(tblTasks[担当者],$R71)&amp;"")</f>
        <v/>
      </c>
      <c r="N71" s="33" t="str">
        <f>IF($R71="","",IF($S71="","",INDEX(tblCases[営業段階],$S71)&amp;"・"&amp;INDEX(tblCases[追客状態],$S71)))</f>
        <v/>
      </c>
      <c r="O71" s="31" t="n"/>
      <c r="P71" s="34" t="str">
        <f>IF($R71="","",IF($S71="","",INDEX(tblCases[最終会話・返信],$S71)))</f>
        <v/>
      </c>
      <c r="Q71" s="31" t="n"/>
      <c r="R71" t="str">
        <f>IF(7&gt;COUNTIF(tblTasks[一覧4対象],1),"",IFERROR(MATCH(7,tblTasks[一覧4順位],0),""))</f>
        <v/>
      </c>
      <c r="S71" t="str">
        <f>IF($R71="","",IFERROR(MATCH(INDEX(tblTasks[案件ID],$R71),tblCases[案件ID],0),""))</f>
        <v/>
      </c>
    </row>
    <row r="72" ht="30" customHeight="1">
      <c r="B72" s="30" t="str">
        <f>IF($R72="","","あと"&amp;(INT(INDEX(tblTasks[期限日],$R72))-RefDate)&amp;"日")</f>
        <v/>
      </c>
      <c r="C72" s="31" t="n"/>
      <c r="D72" s="32" t="str">
        <f>IF($R72="","",INDEX(tblTasks[期限日],$R72))</f>
        <v/>
      </c>
      <c r="E72" s="33" t="str">
        <f>IF($R72="","",INDEX(tblTasks[顧客名],$R72)&amp;"")</f>
        <v/>
      </c>
      <c r="F72" s="31" t="n"/>
      <c r="G72" s="33" t="str">
        <f>IF($R72="","",INDEX(tblTasks[案件名],$R72)&amp;"")</f>
        <v/>
      </c>
      <c r="H72" s="31" t="n"/>
      <c r="I72" s="33" t="str">
        <f>IF($R72="","",IF(INDEX(tblTasks[区分],$R72)="社内確認","社内：","連絡：")&amp;INDEX(tblTasks[内容],$R72))</f>
        <v/>
      </c>
      <c r="J72" s="31" t="n"/>
      <c r="K72" s="31" t="n"/>
      <c r="L72" s="31" t="n"/>
      <c r="M72" s="30" t="str">
        <f>IF($R72="","",INDEX(tblTasks[担当者],$R72)&amp;"")</f>
        <v/>
      </c>
      <c r="N72" s="33" t="str">
        <f>IF($R72="","",IF($S72="","",INDEX(tblCases[営業段階],$S72)&amp;"・"&amp;INDEX(tblCases[追客状態],$S72)))</f>
        <v/>
      </c>
      <c r="O72" s="31" t="n"/>
      <c r="P72" s="34" t="str">
        <f>IF($R72="","",IF($S72="","",INDEX(tblCases[最終会話・返信],$S72)))</f>
        <v/>
      </c>
      <c r="Q72" s="31" t="n"/>
      <c r="R72" t="str">
        <f>IF(8&gt;COUNTIF(tblTasks[一覧4対象],1),"",IFERROR(MATCH(8,tblTasks[一覧4順位],0),""))</f>
        <v/>
      </c>
      <c r="S72" t="str">
        <f>IF($R72="","",IFERROR(MATCH(INDEX(tblTasks[案件ID],$R72),tblCases[案件ID],0),""))</f>
        <v/>
      </c>
    </row>
    <row r="73" ht="30" customHeight="1">
      <c r="B73" s="30" t="str">
        <f>IF($R73="","","あと"&amp;(INT(INDEX(tblTasks[期限日],$R73))-RefDate)&amp;"日")</f>
        <v/>
      </c>
      <c r="C73" s="31" t="n"/>
      <c r="D73" s="32" t="str">
        <f>IF($R73="","",INDEX(tblTasks[期限日],$R73))</f>
        <v/>
      </c>
      <c r="E73" s="33" t="str">
        <f>IF($R73="","",INDEX(tblTasks[顧客名],$R73)&amp;"")</f>
        <v/>
      </c>
      <c r="F73" s="31" t="n"/>
      <c r="G73" s="33" t="str">
        <f>IF($R73="","",INDEX(tblTasks[案件名],$R73)&amp;"")</f>
        <v/>
      </c>
      <c r="H73" s="31" t="n"/>
      <c r="I73" s="33" t="str">
        <f>IF($R73="","",IF(INDEX(tblTasks[区分],$R73)="社内確認","社内：","連絡：")&amp;INDEX(tblTasks[内容],$R73))</f>
        <v/>
      </c>
      <c r="J73" s="31" t="n"/>
      <c r="K73" s="31" t="n"/>
      <c r="L73" s="31" t="n"/>
      <c r="M73" s="30" t="str">
        <f>IF($R73="","",INDEX(tblTasks[担当者],$R73)&amp;"")</f>
        <v/>
      </c>
      <c r="N73" s="33" t="str">
        <f>IF($R73="","",IF($S73="","",INDEX(tblCases[営業段階],$S73)&amp;"・"&amp;INDEX(tblCases[追客状態],$S73)))</f>
        <v/>
      </c>
      <c r="O73" s="31" t="n"/>
      <c r="P73" s="34" t="str">
        <f>IF($R73="","",IF($S73="","",INDEX(tblCases[最終会話・返信],$S73)))</f>
        <v/>
      </c>
      <c r="Q73" s="31" t="n"/>
      <c r="R73" t="str">
        <f>IF(9&gt;COUNTIF(tblTasks[一覧4対象],1),"",IFERROR(MATCH(9,tblTasks[一覧4順位],0),""))</f>
        <v/>
      </c>
      <c r="S73" t="str">
        <f>IF($R73="","",IFERROR(MATCH(INDEX(tblTasks[案件ID],$R73),tblCases[案件ID],0),""))</f>
        <v/>
      </c>
    </row>
    <row r="74" ht="30" customHeight="1">
      <c r="B74" s="30" t="str">
        <f>IF($R74="","","あと"&amp;(INT(INDEX(tblTasks[期限日],$R74))-RefDate)&amp;"日")</f>
        <v/>
      </c>
      <c r="C74" s="31" t="n"/>
      <c r="D74" s="32" t="str">
        <f>IF($R74="","",INDEX(tblTasks[期限日],$R74))</f>
        <v/>
      </c>
      <c r="E74" s="33" t="str">
        <f>IF($R74="","",INDEX(tblTasks[顧客名],$R74)&amp;"")</f>
        <v/>
      </c>
      <c r="F74" s="31" t="n"/>
      <c r="G74" s="33" t="str">
        <f>IF($R74="","",INDEX(tblTasks[案件名],$R74)&amp;"")</f>
        <v/>
      </c>
      <c r="H74" s="31" t="n"/>
      <c r="I74" s="33" t="str">
        <f>IF($R74="","",IF(INDEX(tblTasks[区分],$R74)="社内確認","社内：","連絡：")&amp;INDEX(tblTasks[内容],$R74))</f>
        <v/>
      </c>
      <c r="J74" s="31" t="n"/>
      <c r="K74" s="31" t="n"/>
      <c r="L74" s="31" t="n"/>
      <c r="M74" s="30" t="str">
        <f>IF($R74="","",INDEX(tblTasks[担当者],$R74)&amp;"")</f>
        <v/>
      </c>
      <c r="N74" s="33" t="str">
        <f>IF($R74="","",IF($S74="","",INDEX(tblCases[営業段階],$S74)&amp;"・"&amp;INDEX(tblCases[追客状態],$S74)))</f>
        <v/>
      </c>
      <c r="O74" s="31" t="n"/>
      <c r="P74" s="34" t="str">
        <f>IF($R74="","",IF($S74="","",INDEX(tblCases[最終会話・返信],$S74)))</f>
        <v/>
      </c>
      <c r="Q74" s="31" t="n"/>
      <c r="R74" t="str">
        <f>IF(10&gt;COUNTIF(tblTasks[一覧4対象],1),"",IFERROR(MATCH(10,tblTasks[一覧4順位],0),""))</f>
        <v/>
      </c>
      <c r="S74" t="str">
        <f>IF($R74="","",IFERROR(MATCH(INDEX(tblTasks[案件ID],$R74),tblCases[案件ID],0),""))</f>
        <v/>
      </c>
    </row>
    <row r="75" ht="18" customHeight="1">
      <c r="B75" s="35" t="str">
        <f>IF(COUNTIF(tblTasks[一覧4対象],1)&gt;10,"▲ ほか "&amp;(COUNTIF(tblTasks[一覧4対象],1)-10)&amp;" 件あります。「04_対応タスク」で期限日の昇順に並べ替えて確認してください。","")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55">
    <mergeCell ref="E71:F71"/>
    <mergeCell ref="G71:H71"/>
    <mergeCell ref="M49:Q49"/>
    <mergeCell ref="P69:Q69"/>
    <mergeCell ref="H9:I9"/>
    <mergeCell ref="J9:K9"/>
    <mergeCell ref="E73:F73"/>
    <mergeCell ref="B14:C14"/>
    <mergeCell ref="G66:H66"/>
    <mergeCell ref="B13:C13"/>
    <mergeCell ref="I26:L26"/>
    <mergeCell ref="N29:O29"/>
    <mergeCell ref="G68:H68"/>
    <mergeCell ref="N31:O31"/>
    <mergeCell ref="B55:C55"/>
    <mergeCell ref="N24:O24"/>
    <mergeCell ref="P24:Q24"/>
    <mergeCell ref="E53:F53"/>
    <mergeCell ref="N38:Q38"/>
    <mergeCell ref="N26:O26"/>
    <mergeCell ref="G59:H59"/>
    <mergeCell ref="I52:L52"/>
    <mergeCell ref="P26:Q26"/>
    <mergeCell ref="E55:F55"/>
    <mergeCell ref="B25:C25"/>
    <mergeCell ref="D41:F41"/>
    <mergeCell ref="N40:Q40"/>
    <mergeCell ref="C5:D5"/>
    <mergeCell ref="E67:F67"/>
    <mergeCell ref="G67:H67"/>
    <mergeCell ref="D43:F43"/>
    <mergeCell ref="L42:M42"/>
    <mergeCell ref="N52:O52"/>
    <mergeCell ref="B53:C53"/>
    <mergeCell ref="I70:L70"/>
    <mergeCell ref="I57:L57"/>
    <mergeCell ref="I32:L32"/>
    <mergeCell ref="I71:L71"/>
    <mergeCell ref="P14:Q14"/>
    <mergeCell ref="H14:I14"/>
    <mergeCell ref="E18:F18"/>
    <mergeCell ref="N70:O70"/>
    <mergeCell ref="H43:I43"/>
    <mergeCell ref="N32:O32"/>
    <mergeCell ref="M35:Q35"/>
    <mergeCell ref="I60:L60"/>
    <mergeCell ref="E29:F29"/>
    <mergeCell ref="E69:F69"/>
    <mergeCell ref="P27:Q27"/>
    <mergeCell ref="G69:H69"/>
    <mergeCell ref="E31:F31"/>
    <mergeCell ref="N41:Q41"/>
    <mergeCell ref="B28:C28"/>
    <mergeCell ref="N43:Q43"/>
    <mergeCell ref="D3:E3"/>
    <mergeCell ref="G64:H64"/>
    <mergeCell ref="N60:O60"/>
    <mergeCell ref="G51:H51"/>
    <mergeCell ref="B30:C30"/>
    <mergeCell ref="E72:F72"/>
    <mergeCell ref="E24:F24"/>
    <mergeCell ref="J14:K14"/>
    <mergeCell ref="I73:L73"/>
    <mergeCell ref="J13:K13"/>
    <mergeCell ref="E17:F17"/>
    <mergeCell ref="L13:M13"/>
    <mergeCell ref="G17:H17"/>
    <mergeCell ref="E19:F19"/>
    <mergeCell ref="G19:H19"/>
    <mergeCell ref="B23:C23"/>
    <mergeCell ref="N71:O71"/>
    <mergeCell ref="N73:O73"/>
    <mergeCell ref="I28:L28"/>
    <mergeCell ref="B36:C36"/>
    <mergeCell ref="I55:L55"/>
    <mergeCell ref="H8:I8"/>
    <mergeCell ref="J8:K8"/>
    <mergeCell ref="I67:L67"/>
    <mergeCell ref="G72:H72"/>
    <mergeCell ref="H10:I10"/>
    <mergeCell ref="J10:K10"/>
    <mergeCell ref="N66:O66"/>
    <mergeCell ref="B31:C31"/>
    <mergeCell ref="N53:O53"/>
    <mergeCell ref="L3:M3"/>
    <mergeCell ref="H39:I39"/>
    <mergeCell ref="N3:O3"/>
    <mergeCell ref="D37:F37"/>
    <mergeCell ref="P59:Q59"/>
    <mergeCell ref="N68:O68"/>
    <mergeCell ref="E27:F27"/>
    <mergeCell ref="G20:H20"/>
    <mergeCell ref="B24:C24"/>
    <mergeCell ref="I18:L18"/>
    <mergeCell ref="E22:F22"/>
    <mergeCell ref="B32:C32"/>
    <mergeCell ref="G22:H22"/>
    <mergeCell ref="B26:C26"/>
    <mergeCell ref="L5:Q5"/>
    <mergeCell ref="H41:I41"/>
    <mergeCell ref="I29:L29"/>
    <mergeCell ref="N51:O51"/>
    <mergeCell ref="B27:C27"/>
    <mergeCell ref="P9:Q9"/>
    <mergeCell ref="I31:L31"/>
    <mergeCell ref="H36:I36"/>
    <mergeCell ref="J36:K36"/>
    <mergeCell ref="N67:O67"/>
    <mergeCell ref="B37:C37"/>
    <mergeCell ref="I72:L72"/>
    <mergeCell ref="D9:E9"/>
    <mergeCell ref="L44:M44"/>
    <mergeCell ref="N69:O69"/>
    <mergeCell ref="F9:G9"/>
    <mergeCell ref="D46:F46"/>
    <mergeCell ref="D40:F40"/>
    <mergeCell ref="E66:F66"/>
    <mergeCell ref="I24:L24"/>
    <mergeCell ref="P64:Q64"/>
    <mergeCell ref="I17:L17"/>
    <mergeCell ref="P51:Q51"/>
    <mergeCell ref="E68:F68"/>
    <mergeCell ref="B71:C71"/>
    <mergeCell ref="I19:L19"/>
    <mergeCell ref="B58:C58"/>
    <mergeCell ref="B52:C52"/>
    <mergeCell ref="N18:O18"/>
    <mergeCell ref="B60:C60"/>
    <mergeCell ref="B47:Q47"/>
    <mergeCell ref="P67:Q67"/>
    <mergeCell ref="N17:O17"/>
    <mergeCell ref="E59:F59"/>
    <mergeCell ref="P17:Q17"/>
    <mergeCell ref="N19:O19"/>
    <mergeCell ref="P19:Q19"/>
    <mergeCell ref="E54:F54"/>
    <mergeCell ref="G54:H54"/>
    <mergeCell ref="H42:I42"/>
    <mergeCell ref="J42:K42"/>
    <mergeCell ref="B45:C45"/>
    <mergeCell ref="D36:F36"/>
    <mergeCell ref="E56:F56"/>
    <mergeCell ref="G56:H56"/>
    <mergeCell ref="J39:K39"/>
    <mergeCell ref="J44:K44"/>
    <mergeCell ref="B59:C59"/>
    <mergeCell ref="B46:C46"/>
    <mergeCell ref="J37:K37"/>
    <mergeCell ref="L37:M37"/>
    <mergeCell ref="I50:L50"/>
    <mergeCell ref="N72:O72"/>
    <mergeCell ref="P72:Q72"/>
    <mergeCell ref="P65:Q65"/>
    <mergeCell ref="B8:C8"/>
    <mergeCell ref="I27:L27"/>
    <mergeCell ref="B73:C73"/>
    <mergeCell ref="B10:C10"/>
    <mergeCell ref="G29:H29"/>
    <mergeCell ref="I22:L22"/>
    <mergeCell ref="B74:C74"/>
    <mergeCell ref="B68:C68"/>
    <mergeCell ref="M63:Q63"/>
    <mergeCell ref="G31:H31"/>
    <mergeCell ref="N27:O27"/>
    <mergeCell ref="N20:O20"/>
    <mergeCell ref="P20:Q20"/>
    <mergeCell ref="N22:O22"/>
    <mergeCell ref="E64:F64"/>
    <mergeCell ref="P22:Q22"/>
    <mergeCell ref="B21:C21"/>
    <mergeCell ref="E51:F51"/>
    <mergeCell ref="N36:Q36"/>
    <mergeCell ref="B67:C67"/>
    <mergeCell ref="G57:H57"/>
    <mergeCell ref="J45:K45"/>
    <mergeCell ref="D39:F39"/>
    <mergeCell ref="L45:M45"/>
    <mergeCell ref="E65:F65"/>
    <mergeCell ref="B69:C69"/>
    <mergeCell ref="L38:M38"/>
    <mergeCell ref="G58:H58"/>
    <mergeCell ref="F13:G13"/>
    <mergeCell ref="P13:Q13"/>
    <mergeCell ref="H13:I13"/>
    <mergeCell ref="L40:M40"/>
    <mergeCell ref="I66:L66"/>
    <mergeCell ref="B64:C64"/>
    <mergeCell ref="I53:L53"/>
    <mergeCell ref="B51:C51"/>
    <mergeCell ref="P58:Q58"/>
    <mergeCell ref="I68:L68"/>
    <mergeCell ref="P73:Q73"/>
    <mergeCell ref="B3:C3"/>
    <mergeCell ref="P10:Q10"/>
    <mergeCell ref="B6:Q6"/>
    <mergeCell ref="B18:C18"/>
    <mergeCell ref="G70:H70"/>
    <mergeCell ref="E5:H5"/>
    <mergeCell ref="B29:C29"/>
    <mergeCell ref="N28:O28"/>
    <mergeCell ref="I54:L54"/>
    <mergeCell ref="P28:Q28"/>
    <mergeCell ref="G65:H65"/>
    <mergeCell ref="N42:Q42"/>
    <mergeCell ref="H3:I3"/>
    <mergeCell ref="J3:K3"/>
    <mergeCell ref="N30:O30"/>
    <mergeCell ref="I56:L56"/>
    <mergeCell ref="P30:Q30"/>
    <mergeCell ref="J46:K46"/>
    <mergeCell ref="E25:F25"/>
    <mergeCell ref="L46:M46"/>
    <mergeCell ref="G25:H25"/>
    <mergeCell ref="N39:Q39"/>
    <mergeCell ref="N44:Q44"/>
    <mergeCell ref="G60:H60"/>
    <mergeCell ref="E58:F58"/>
    <mergeCell ref="B72:C72"/>
    <mergeCell ref="N54:O54"/>
    <mergeCell ref="I59:L59"/>
    <mergeCell ref="N56:O56"/>
    <mergeCell ref="E20:F20"/>
    <mergeCell ref="L43:M43"/>
    <mergeCell ref="P56:Q56"/>
    <mergeCell ref="I69:L69"/>
    <mergeCell ref="B42:C42"/>
    <mergeCell ref="B17:C17"/>
    <mergeCell ref="B44:C44"/>
    <mergeCell ref="B19:C19"/>
    <mergeCell ref="N59:O59"/>
    <mergeCell ref="L9:M9"/>
    <mergeCell ref="G73:H73"/>
    <mergeCell ref="N9:O9"/>
    <mergeCell ref="B20:C20"/>
    <mergeCell ref="D14:E14"/>
    <mergeCell ref="F14:G14"/>
    <mergeCell ref="P54:Q54"/>
    <mergeCell ref="P29:Q29"/>
    <mergeCell ref="J5:K5"/>
    <mergeCell ref="I64:L64"/>
    <mergeCell ref="I51:L51"/>
    <mergeCell ref="H44:I44"/>
    <mergeCell ref="P31:Q31"/>
    <mergeCell ref="N45:Q45"/>
    <mergeCell ref="I65:L65"/>
    <mergeCell ref="E28:F28"/>
    <mergeCell ref="G53:H53"/>
    <mergeCell ref="G28:H28"/>
    <mergeCell ref="E74:F74"/>
    <mergeCell ref="G74:H74"/>
    <mergeCell ref="M16:Q16"/>
    <mergeCell ref="N64:O64"/>
    <mergeCell ref="E30:F30"/>
    <mergeCell ref="G30:H30"/>
    <mergeCell ref="N57:O57"/>
    <mergeCell ref="P57:Q57"/>
    <mergeCell ref="D8:E8"/>
    <mergeCell ref="E21:F21"/>
    <mergeCell ref="G21:H21"/>
    <mergeCell ref="B22:C22"/>
    <mergeCell ref="E23:F23"/>
    <mergeCell ref="G23:H23"/>
    <mergeCell ref="B33:Q33"/>
    <mergeCell ref="D13:E13"/>
    <mergeCell ref="L39:M39"/>
    <mergeCell ref="L14:M14"/>
    <mergeCell ref="G18:H18"/>
    <mergeCell ref="N14:O14"/>
    <mergeCell ref="P70:Q70"/>
    <mergeCell ref="B38:C38"/>
    <mergeCell ref="H45:I45"/>
    <mergeCell ref="P32:Q32"/>
    <mergeCell ref="H37:I37"/>
    <mergeCell ref="N46:Q46"/>
    <mergeCell ref="I25:L25"/>
    <mergeCell ref="B40:C40"/>
    <mergeCell ref="I58:L58"/>
    <mergeCell ref="B61:Q61"/>
    <mergeCell ref="N65:O65"/>
    <mergeCell ref="B41:C41"/>
    <mergeCell ref="D10:E10"/>
    <mergeCell ref="F10:G10"/>
    <mergeCell ref="N50:O50"/>
    <mergeCell ref="I20:L20"/>
    <mergeCell ref="N25:O25"/>
    <mergeCell ref="P50:Q50"/>
    <mergeCell ref="P25:Q25"/>
    <mergeCell ref="B66:C66"/>
    <mergeCell ref="P60:Q60"/>
    <mergeCell ref="P52:Q52"/>
    <mergeCell ref="G24:H24"/>
    <mergeCell ref="E26:F26"/>
    <mergeCell ref="N13:O13"/>
    <mergeCell ref="G26:H26"/>
    <mergeCell ref="P71:Q71"/>
    <mergeCell ref="N55:O55"/>
    <mergeCell ref="P55:Q55"/>
    <mergeCell ref="E50:F50"/>
    <mergeCell ref="O1:Q1"/>
    <mergeCell ref="B54:C54"/>
    <mergeCell ref="H38:I38"/>
    <mergeCell ref="J38:K38"/>
    <mergeCell ref="E52:F52"/>
    <mergeCell ref="B56:C56"/>
    <mergeCell ref="H40:I40"/>
    <mergeCell ref="J40:K40"/>
    <mergeCell ref="B43:C43"/>
    <mergeCell ref="I74:L74"/>
    <mergeCell ref="I30:L30"/>
    <mergeCell ref="N58:O58"/>
    <mergeCell ref="B75:Q75"/>
    <mergeCell ref="L8:M8"/>
    <mergeCell ref="B57:C57"/>
    <mergeCell ref="N8:O8"/>
    <mergeCell ref="F8:G8"/>
    <mergeCell ref="D42:F42"/>
    <mergeCell ref="L10:M10"/>
    <mergeCell ref="N10:O10"/>
    <mergeCell ref="D44:F44"/>
    <mergeCell ref="P66:Q66"/>
    <mergeCell ref="B9:C9"/>
    <mergeCell ref="P53:Q53"/>
    <mergeCell ref="E70:F70"/>
    <mergeCell ref="E57:F57"/>
    <mergeCell ref="E32:F32"/>
    <mergeCell ref="P68:Q68"/>
    <mergeCell ref="I21:L21"/>
    <mergeCell ref="G32:H32"/>
    <mergeCell ref="G50:H50"/>
    <mergeCell ref="D45:F45"/>
    <mergeCell ref="I23:L23"/>
    <mergeCell ref="G52:H52"/>
    <mergeCell ref="G27:H27"/>
    <mergeCell ref="F3:G3"/>
    <mergeCell ref="B39:C39"/>
    <mergeCell ref="B70:C70"/>
    <mergeCell ref="N21:O21"/>
    <mergeCell ref="P21:Q21"/>
    <mergeCell ref="H46:I46"/>
    <mergeCell ref="P8:Q8"/>
    <mergeCell ref="E60:F60"/>
    <mergeCell ref="N23:O23"/>
    <mergeCell ref="P23:Q23"/>
    <mergeCell ref="D38:F38"/>
    <mergeCell ref="N37:Q37"/>
    <mergeCell ref="J41:K41"/>
    <mergeCell ref="L41:M41"/>
    <mergeCell ref="B65:C65"/>
    <mergeCell ref="G55:H55"/>
    <mergeCell ref="P18:Q18"/>
    <mergeCell ref="J43:K43"/>
    <mergeCell ref="N74:O74"/>
    <mergeCell ref="B50:C50"/>
    <mergeCell ref="P74:Q74"/>
    <mergeCell ref="L36:M36"/>
  </mergeCells>
  <conditionalFormatting sqref="D9">
    <cfRule type="expression" priority="1" dxfId="0" stopIfTrue="1">
      <formula>D9&gt;0</formula>
    </cfRule>
  </conditionalFormatting>
  <conditionalFormatting sqref="F9">
    <cfRule type="expression" priority="2" dxfId="1" stopIfTrue="1">
      <formula>F9&gt;0</formula>
    </cfRule>
  </conditionalFormatting>
  <conditionalFormatting sqref="H9">
    <cfRule type="expression" priority="3" dxfId="2" stopIfTrue="1">
      <formula>H9&gt;0</formula>
    </cfRule>
  </conditionalFormatting>
  <conditionalFormatting sqref="P9">
    <cfRule type="expression" priority="4" dxfId="2" stopIfTrue="1">
      <formula>P9&gt;0</formula>
    </cfRule>
  </conditionalFormatting>
  <conditionalFormatting sqref="B18:C32">
    <cfRule type="expression" priority="5" dxfId="3" stopIfTrue="1">
      <formula>ISNUMBER(SEARCH("期限超過",$B18))</formula>
    </cfRule>
    <cfRule type="expression" priority="6" dxfId="4" stopIfTrue="1">
      <formula>$B18="本日"</formula>
    </cfRule>
    <cfRule type="expression" priority="7" dxfId="2" stopIfTrue="1">
      <formula>OR($B18="期限未設定",$B18="入力要確認",$B18="連絡停止中",$B18="終了案件")</formula>
    </cfRule>
  </conditionalFormatting>
  <conditionalFormatting sqref="B37:C46">
    <cfRule type="expression" priority="8" dxfId="3" stopIfTrue="1">
      <formula>ISNUMBER(SEARCH("期限超過",$B37))</formula>
    </cfRule>
    <cfRule type="expression" priority="9" dxfId="4" stopIfTrue="1">
      <formula>$B37="本日"</formula>
    </cfRule>
    <cfRule type="expression" priority="10" dxfId="2" stopIfTrue="1">
      <formula>OR($B37="期限未設定",$B37="入力要確認",$B37="連絡停止中",$B37="終了案件")</formula>
    </cfRule>
  </conditionalFormatting>
  <conditionalFormatting sqref="N37:Q46">
    <cfRule type="expression" priority="11" dxfId="2" stopIfTrue="1">
      <formula>$N37&lt;&gt;""</formula>
    </cfRule>
  </conditionalFormatting>
  <conditionalFormatting sqref="B51:C60">
    <cfRule type="expression" priority="12" dxfId="3" stopIfTrue="1">
      <formula>ISNUMBER(SEARCH("期限超過",$B51))</formula>
    </cfRule>
    <cfRule type="expression" priority="13" dxfId="4" stopIfTrue="1">
      <formula>$B51="本日"</formula>
    </cfRule>
    <cfRule type="expression" priority="14" dxfId="2" stopIfTrue="1">
      <formula>OR($B51="期限未設定",$B51="入力要確認",$B51="連絡停止中",$B51="終了案件")</formula>
    </cfRule>
  </conditionalFormatting>
  <conditionalFormatting sqref="B65:C74">
    <cfRule type="expression" priority="15" dxfId="3" stopIfTrue="1">
      <formula>ISNUMBER(SEARCH("期限超過",$B65))</formula>
    </cfRule>
    <cfRule type="expression" priority="16" dxfId="4" stopIfTrue="1">
      <formula>$B65="本日"</formula>
    </cfRule>
    <cfRule type="expression" priority="17" dxfId="2" stopIfTrue="1">
      <formula>OR($B65="期限未設定",$B65="入力要確認",$B65="連絡停止中",$B65="終了案件")</formula>
    </cfRule>
  </conditionalFormatting>
  <dataValidations count="1">
    <dataValidation sqref="J5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を選ぶと、件数と一覧が絞り込まれます。" type="list" errorStyle="stop">
      <formula1>=dv_HomeStaff</formula1>
    </dataValidation>
  </dataValidations>
  <hyperlinks>
    <hyperlink ref="B3" location="'02_案件一覧'!A1" display="▶ 案件一覧"/>
    <hyperlink ref="D3" location="'03_連絡履歴'!A1" display="▶ 連絡履歴"/>
    <hyperlink ref="F3" location="'04_対応タスク'!A1" display="▶ 対応タスク"/>
    <hyperlink ref="H3" location="'05_顧客マスター'!A1" display="▶ 顧客マスター"/>
    <hyperlink ref="J3" location="'06_担当者マスター'!A1" display="▶ 担当者マスター"/>
    <hyperlink ref="L3" location="'07_設定'!A1" display="▶ 設定"/>
    <hyperlink ref="N3" location="'08_使い方'!A1" display="▶ 使い方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T54"/>
  <sheetViews>
    <sheetView showGridLines="0" zoomScale="10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24" customWidth="1" min="4" max="4"/>
    <col width="8" customWidth="1" min="5" max="5"/>
    <col width="11" customWidth="1" min="6" max="6"/>
    <col width="11" customWidth="1" min="7" max="7"/>
    <col width="20" customWidth="1" min="8" max="8"/>
    <col width="15" customWidth="1" min="9" max="9"/>
    <col width="15" customWidth="1" min="10" max="10"/>
    <col width="8" customWidth="1" min="11" max="11"/>
    <col width="28" customWidth="1" min="12" max="12"/>
    <col width="8" customWidth="1" min="13" max="13"/>
    <col width="11" customWidth="1" min="14" max="14"/>
    <col width="30" customWidth="1" min="15" max="15"/>
    <col width="10" customWidth="1" min="16" max="16"/>
    <col width="12" customWidth="1" min="17" max="17"/>
    <col width="12" customWidth="1" min="18" max="18"/>
    <col width="6" customWidth="1" min="19" max="19"/>
    <col width="11" customWidth="1" min="20" max="20"/>
    <col width="12" customWidth="1" min="21" max="21"/>
    <col width="12" customWidth="1" min="22" max="22"/>
    <col width="18" customWidth="1" min="23" max="23"/>
    <col width="22" customWidth="1" min="24" max="24"/>
    <col width="20" customWidth="1" min="25" max="25"/>
    <col width="22" customWidth="1" min="26" max="26"/>
    <col width="24" customWidth="1" min="27" max="27"/>
    <col width="7" customWidth="1" min="28" max="28"/>
    <col width="7" customWidth="1" min="29" max="29"/>
    <col width="6" customWidth="1" min="30" max="30"/>
    <col width="7" customWidth="1" min="31" max="31"/>
    <col width="6" customWidth="1" min="32" max="32"/>
    <col width="10" customWidth="1" min="33" max="33"/>
    <col width="10" customWidth="1" min="34" max="34"/>
    <col width="7" customWidth="1" min="35" max="35"/>
    <col width="7" customWidth="1" min="36" max="36"/>
    <col width="9" customWidth="1" min="37" max="37"/>
    <col width="7" customWidth="1" min="38" max="38"/>
    <col width="6" customWidth="1" min="39" max="39"/>
    <col width="6" customWidth="1" min="40" max="40"/>
    <col width="6" customWidth="1" min="41" max="41"/>
    <col width="6" customWidth="1" min="42" max="42"/>
    <col width="6" customWidth="1" min="43" max="43"/>
    <col width="11" customWidth="1" min="44" max="44"/>
    <col width="6" customWidth="1" min="45" max="45"/>
    <col width="6" customWidth="1" min="46" max="46"/>
  </cols>
  <sheetData>
    <row r="1" ht="30" customHeight="1">
      <c r="A1" s="1" t="inlineStr">
        <is>
          <t>案件一覧（1行＝1案件）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6" t="inlineStr">
        <is>
          <t>← ホームへ</t>
        </is>
      </c>
    </row>
    <row r="2" ht="20" customHeight="1">
      <c r="A2" s="4" t="inlineStr">
        <is>
          <t>白い列を入力します。最新接点・最終会話・次回対応は 03_連絡履歴・04_対応タスク から自動表示されます（ここでは入力しません）。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J3" s="43" t="inlineStr">
        <is>
          <t>次の案件ID候補</t>
        </is>
      </c>
      <c r="K3" s="44" t="str">
        <f>"A"&amp;TEXT(MAX(0,MAX(tblCases[ID番号]))+1,"0000")</f>
        <v>A0001</v>
      </c>
      <c r="L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案件ID</t>
        </is>
      </c>
      <c r="B5" s="46" t="inlineStr">
        <is>
          <t>顧客ID</t>
        </is>
      </c>
      <c r="C5" s="47" t="inlineStr">
        <is>
          <t>顧客名</t>
        </is>
      </c>
      <c r="D5" s="46" t="inlineStr">
        <is>
          <t>案件名</t>
        </is>
      </c>
      <c r="E5" s="46" t="inlineStr">
        <is>
          <t>社内担当</t>
        </is>
      </c>
      <c r="F5" s="46" t="inlineStr">
        <is>
          <t>営業段階</t>
        </is>
      </c>
      <c r="G5" s="46" t="inlineStr">
        <is>
          <t>追客状態</t>
        </is>
      </c>
      <c r="H5" s="47" t="inlineStr">
        <is>
          <t>注意</t>
        </is>
      </c>
      <c r="I5" s="47" t="inlineStr">
        <is>
          <t>最終会話・返信</t>
        </is>
      </c>
      <c r="J5" s="47" t="inlineStr">
        <is>
          <t>最新接点</t>
        </is>
      </c>
      <c r="K5" s="47" t="inlineStr">
        <is>
          <t>接点からの日数</t>
        </is>
      </c>
      <c r="L5" s="47" t="inlineStr">
        <is>
          <t>次回対応</t>
        </is>
      </c>
      <c r="M5" s="47" t="inlineStr">
        <is>
          <t>次回担当</t>
        </is>
      </c>
      <c r="N5" s="47" t="inlineStr">
        <is>
          <t>次回期限</t>
        </is>
      </c>
      <c r="O5" s="47" t="inlineStr">
        <is>
          <t>最新履歴の要旨</t>
        </is>
      </c>
      <c r="P5" s="46" t="inlineStr">
        <is>
          <t>顧客側担当者ID</t>
        </is>
      </c>
      <c r="Q5" s="47" t="inlineStr">
        <is>
          <t>顧客側担当者</t>
        </is>
      </c>
      <c r="R5" s="46" t="inlineStr">
        <is>
          <t>見積番号</t>
        </is>
      </c>
      <c r="S5" s="46" t="inlineStr">
        <is>
          <t>見積版</t>
        </is>
      </c>
      <c r="T5" s="46" t="inlineStr">
        <is>
          <t>見積提出日</t>
        </is>
      </c>
      <c r="U5" s="46" t="inlineStr">
        <is>
          <t>見積額（円）</t>
        </is>
      </c>
      <c r="V5" s="46" t="inlineStr">
        <is>
          <t>受注額（円）</t>
        </is>
      </c>
      <c r="W5" s="46" t="inlineStr">
        <is>
          <t>検討理由</t>
        </is>
      </c>
      <c r="X5" s="46" t="inlineStr">
        <is>
          <t>検討時期・合意した連絡時期</t>
        </is>
      </c>
      <c r="Y5" s="46" t="inlineStr">
        <is>
          <t>保留・失注理由</t>
        </is>
      </c>
      <c r="Z5" s="46" t="inlineStr">
        <is>
          <t>補足</t>
        </is>
      </c>
      <c r="AA5" s="47" t="inlineStr">
        <is>
          <t>入力チェック</t>
        </is>
      </c>
      <c r="AB5" s="48" t="inlineStr">
        <is>
          <t>段階区分</t>
        </is>
      </c>
      <c r="AC5" s="48" t="inlineStr">
        <is>
          <t>追客区分</t>
        </is>
      </c>
      <c r="AD5" s="48" t="inlineStr">
        <is>
          <t>連絡停止</t>
        </is>
      </c>
      <c r="AE5" s="48" t="inlineStr">
        <is>
          <t>状態区分</t>
        </is>
      </c>
      <c r="AF5" s="48" t="inlineStr">
        <is>
          <t>進行中</t>
        </is>
      </c>
      <c r="AG5" s="48" t="inlineStr">
        <is>
          <t>最新接点値</t>
        </is>
      </c>
      <c r="AH5" s="48" t="inlineStr">
        <is>
          <t>最新会話値</t>
        </is>
      </c>
      <c r="AI5" s="48" t="inlineStr">
        <is>
          <t>最新ID番号</t>
        </is>
      </c>
      <c r="AJ5" s="48" t="inlineStr">
        <is>
          <t>最新履歴行</t>
        </is>
      </c>
      <c r="AK5" s="48" t="inlineStr">
        <is>
          <t>次回期限値</t>
        </is>
      </c>
      <c r="AL5" s="48" t="inlineStr">
        <is>
          <t>次回ID番号</t>
        </is>
      </c>
      <c r="AM5" s="48" t="inlineStr">
        <is>
          <t>次回行</t>
        </is>
      </c>
      <c r="AN5" s="48" t="inlineStr">
        <is>
          <t>期限なし数</t>
        </is>
      </c>
      <c r="AO5" s="48" t="inlineStr">
        <is>
          <t>社内確認残</t>
        </is>
      </c>
      <c r="AP5" s="48" t="inlineStr">
        <is>
          <t>担当一致</t>
        </is>
      </c>
      <c r="AQ5" s="48" t="inlineStr">
        <is>
          <t>未設定対象</t>
        </is>
      </c>
      <c r="AR5" s="48" t="inlineStr">
        <is>
          <t>並びキー</t>
        </is>
      </c>
      <c r="AS5" s="48" t="inlineStr">
        <is>
          <t>未設定順位</t>
        </is>
      </c>
      <c r="AT5" s="48" t="inlineStr">
        <is>
          <t>ID番号</t>
        </is>
      </c>
    </row>
    <row r="6">
      <c r="A6" s="49" t="n"/>
      <c r="B6" s="49" t="n"/>
      <c r="C6" s="50" t="str">
        <f>IF(tblCases[[#This Row],[顧客ID]]="","",IFERROR(INDEX(tblCustomers[会社名],MATCH(tblCases[[#This Row],[顧客ID]],tblCustomers[顧客ID],0))&amp;"","（未登録の顧客ID）"))</f>
        <v/>
      </c>
      <c r="D6" s="51" t="n"/>
      <c r="E6" s="52" t="n"/>
      <c r="F6" s="52" t="n"/>
      <c r="G6" s="52" t="n"/>
      <c r="H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6" s="53" t="str">
        <f>IF(tblCases[[#This Row],[案件ID]]="","",IF(tblCases[[#This Row],[最新会話値]]=0,"なし",tblCases[[#This Row],[最新会話値]]))</f>
        <v/>
      </c>
      <c r="J6" s="53" t="str">
        <f>IF(tblCases[[#This Row],[案件ID]]="","",IF(tblCases[[#This Row],[最新接点値]]=0,"履歴なし",tblCases[[#This Row],[最新接点値]]))</f>
        <v/>
      </c>
      <c r="K6" s="54" t="str">
        <f>IF(OR(tblCases[[#This Row],[案件ID]]="",tblCases[[#This Row],[最新接点値]]=0),"",RefDate-INT(tblCases[[#This Row],[最新接点値]]))</f>
        <v/>
      </c>
      <c r="L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6" s="55" t="str">
        <f>IF(tblCases[[#This Row],[次回行]]="","",INDEX(tblTasks[担当者],tblCases[[#This Row],[次回行]])&amp;"")</f>
        <v/>
      </c>
      <c r="N6" s="56" t="str">
        <f>IF(tblCases[[#This Row],[次回行]]="","",tblCases[[#This Row],[次回期限値]])</f>
        <v/>
      </c>
      <c r="O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6" s="49" t="n"/>
      <c r="Q6" s="57" t="str">
        <f>IF(tblCases[[#This Row],[顧客側担当者ID]]="","",IFERROR(INDEX(tblContacts[氏名],MATCH(tblCases[[#This Row],[顧客側担当者ID]],tblContacts[担当者ID],0))&amp;"","（未登録のID）"))</f>
        <v/>
      </c>
      <c r="R6" s="49" t="n"/>
      <c r="S6" s="58" t="n"/>
      <c r="T6" s="59" t="n"/>
      <c r="U6" s="60" t="n"/>
      <c r="V6" s="60" t="n"/>
      <c r="W6" s="51" t="n"/>
      <c r="X6" s="51" t="n"/>
      <c r="Y6" s="51" t="n"/>
      <c r="Z6" s="51" t="n"/>
      <c r="AA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6" s="61" t="str">
        <f>IF(tblCases[[#This Row],[営業段階]]="","",IFERROR(INDEX(lst_StageKind,MATCH(tblCases[[#This Row],[営業段階]],lst_Stage,0))&amp;"","候補外"))</f>
        <v/>
      </c>
      <c r="AC6" s="61" t="str">
        <f>IF(tblCases[[#This Row],[追客状態]]="","",IFERROR(INDEX(lst_StatusKind,MATCH(tblCases[[#This Row],[追客状態]],lst_Status,0))&amp;"","候補外"))</f>
        <v/>
      </c>
      <c r="AD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6" s="61">
        <f>IF(AND(tblCases[[#This Row],[案件ID]]&lt;&gt;"",OR(tblCases[[#This Row],[状態区分]]="進行",tblCases[[#This Row],[状態区分]]="待機")),1,0)</f>
        <v>0</v>
      </c>
      <c r="AG6" s="62">
        <f>IF(tblCases[[#This Row],[案件ID]]="",0,_xlfn.MAXIFS(tblHistory[実施日時],tblHistory[案件ID],tblCases[[#This Row],[案件ID]],tblHistory[集計対象],1))</f>
        <v>0.0</v>
      </c>
      <c r="AH6" s="62">
        <f>IF(tblCases[[#This Row],[案件ID]]="",0,_xlfn.MAXIFS(tblHistory[実施日時],tblHistory[案件ID],tblCases[[#This Row],[案件ID]],tblHistory[集計対象],1,tblHistory[実接点],1))</f>
        <v>0.0</v>
      </c>
      <c r="AI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6" s="61" t="str">
        <f>IF(N(tblCases[[#This Row],[最新ID番号]])=0,"",IFERROR(MATCH(tblCases[[#This Row],[案件ID]]&amp;"|"&amp;tblCases[[#This Row],[最新ID番号]],tblHistory[照合キー],0),""))</f>
        <v/>
      </c>
      <c r="AK6" s="63">
        <f>IF(tblCases[[#This Row],[案件ID]]="",0,_xlfn.MINIFS(tblTasks[期限日],tblTasks[案件ID],tblCases[[#This Row],[案件ID]],tblTasks[次回候補],1))</f>
        <v>0.0</v>
      </c>
      <c r="AL6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6" s="61" t="str">
        <f>IF(N(tblCases[[#This Row],[次回ID番号]])=0,"",IFERROR(MATCH(tblCases[[#This Row],[案件ID]]&amp;"|"&amp;tblCases[[#This Row],[次回ID番号]],tblTasks[照合キー],0),""))</f>
        <v/>
      </c>
      <c r="AN6" s="61">
        <f>IF(tblCases[[#This Row],[案件ID]]="",0,COUNTIFS(tblTasks[案件ID],tblCases[[#This Row],[案件ID]],tblTasks[表示区分],"期限未設定"))</f>
        <v>0</v>
      </c>
      <c r="AO6" s="61">
        <f>IF(tblCases[[#This Row],[案件ID]]="",0,COUNTIFS(tblTasks[案件ID],tblCases[[#This Row],[案件ID]],tblTasks[未完了],1,tblTasks[区分],"社内確認"))</f>
        <v>0</v>
      </c>
      <c r="AP6" s="61">
        <f>IF(OR(HomeStaff="",HomeStaff="全員",HomeStaff=tblCases[[#This Row],[社内担当]]),1,0)</f>
        <v>1</v>
      </c>
      <c r="AQ6" s="61">
        <f>IF(AND(tblCases[[#This Row],[進行中]]=1,tblCases[[#This Row],[次回期限値]]=0,tblCases[[#This Row],[担当一致]]=1),1,0)</f>
        <v>0</v>
      </c>
      <c r="AR6" s="61">
        <f>INT(N(tblCases[[#This Row],[最新接点値]]))*100000+N(tblCases[[#This Row],[ID番号]])</f>
        <v>0</v>
      </c>
      <c r="AS6" s="61" t="str">
        <f>IF(tblCases[[#This Row],[未設定対象]]=1,COUNTIFS(tblCases[未設定対象],1,tblCases[並びキー],"&lt;"&amp;tblCases[[#This Row],[並びキー]])+1,"")</f>
        <v/>
      </c>
      <c r="AT6" s="61" t="str">
        <f>IFERROR(VALUE(MID(tblCases[[#This Row],[案件ID]],2,20)),"")</f>
        <v/>
      </c>
    </row>
    <row r="7">
      <c r="A7" s="49" t="n"/>
      <c r="B7" s="49" t="n"/>
      <c r="C7" s="50" t="str">
        <f>IF(tblCases[[#This Row],[顧客ID]]="","",IFERROR(INDEX(tblCustomers[会社名],MATCH(tblCases[[#This Row],[顧客ID]],tblCustomers[顧客ID],0))&amp;"","（未登録の顧客ID）"))</f>
        <v/>
      </c>
      <c r="D7" s="51" t="n"/>
      <c r="E7" s="52" t="n"/>
      <c r="F7" s="52" t="n"/>
      <c r="G7" s="52" t="n"/>
      <c r="H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7" s="53" t="str">
        <f>IF(tblCases[[#This Row],[案件ID]]="","",IF(tblCases[[#This Row],[最新会話値]]=0,"なし",tblCases[[#This Row],[最新会話値]]))</f>
        <v/>
      </c>
      <c r="J7" s="53" t="str">
        <f>IF(tblCases[[#This Row],[案件ID]]="","",IF(tblCases[[#This Row],[最新接点値]]=0,"履歴なし",tblCases[[#This Row],[最新接点値]]))</f>
        <v/>
      </c>
      <c r="K7" s="54" t="str">
        <f>IF(OR(tblCases[[#This Row],[案件ID]]="",tblCases[[#This Row],[最新接点値]]=0),"",RefDate-INT(tblCases[[#This Row],[最新接点値]]))</f>
        <v/>
      </c>
      <c r="L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7" s="55" t="str">
        <f>IF(tblCases[[#This Row],[次回行]]="","",INDEX(tblTasks[担当者],tblCases[[#This Row],[次回行]])&amp;"")</f>
        <v/>
      </c>
      <c r="N7" s="56" t="str">
        <f>IF(tblCases[[#This Row],[次回行]]="","",tblCases[[#This Row],[次回期限値]])</f>
        <v/>
      </c>
      <c r="O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7" s="49" t="n"/>
      <c r="Q7" s="57" t="str">
        <f>IF(tblCases[[#This Row],[顧客側担当者ID]]="","",IFERROR(INDEX(tblContacts[氏名],MATCH(tblCases[[#This Row],[顧客側担当者ID]],tblContacts[担当者ID],0))&amp;"","（未登録のID）"))</f>
        <v/>
      </c>
      <c r="R7" s="49" t="n"/>
      <c r="S7" s="58" t="n"/>
      <c r="T7" s="59" t="n"/>
      <c r="U7" s="60" t="n"/>
      <c r="V7" s="60" t="n"/>
      <c r="W7" s="51" t="n"/>
      <c r="X7" s="51" t="n"/>
      <c r="Y7" s="51" t="n"/>
      <c r="Z7" s="51" t="n"/>
      <c r="AA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7" s="61" t="str">
        <f>IF(tblCases[[#This Row],[営業段階]]="","",IFERROR(INDEX(lst_StageKind,MATCH(tblCases[[#This Row],[営業段階]],lst_Stage,0))&amp;"","候補外"))</f>
        <v/>
      </c>
      <c r="AC7" s="61" t="str">
        <f>IF(tblCases[[#This Row],[追客状態]]="","",IFERROR(INDEX(lst_StatusKind,MATCH(tblCases[[#This Row],[追客状態]],lst_Status,0))&amp;"","候補外"))</f>
        <v/>
      </c>
      <c r="AD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7" s="61">
        <f>IF(AND(tblCases[[#This Row],[案件ID]]&lt;&gt;"",OR(tblCases[[#This Row],[状態区分]]="進行",tblCases[[#This Row],[状態区分]]="待機")),1,0)</f>
        <v>0</v>
      </c>
      <c r="AG7" s="62">
        <f>IF(tblCases[[#This Row],[案件ID]]="",0,_xlfn.MAXIFS(tblHistory[実施日時],tblHistory[案件ID],tblCases[[#This Row],[案件ID]],tblHistory[集計対象],1))</f>
        <v>0.0</v>
      </c>
      <c r="AH7" s="62">
        <f>IF(tblCases[[#This Row],[案件ID]]="",0,_xlfn.MAXIFS(tblHistory[実施日時],tblHistory[案件ID],tblCases[[#This Row],[案件ID]],tblHistory[集計対象],1,tblHistory[実接点],1))</f>
        <v>0.0</v>
      </c>
      <c r="AI7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7" s="61" t="str">
        <f>IF(N(tblCases[[#This Row],[最新ID番号]])=0,"",IFERROR(MATCH(tblCases[[#This Row],[案件ID]]&amp;"|"&amp;tblCases[[#This Row],[最新ID番号]],tblHistory[照合キー],0),""))</f>
        <v/>
      </c>
      <c r="AK7" s="63">
        <f>IF(tblCases[[#This Row],[案件ID]]="",0,_xlfn.MINIFS(tblTasks[期限日],tblTasks[案件ID],tblCases[[#This Row],[案件ID]],tblTasks[次回候補],1))</f>
        <v>0.0</v>
      </c>
      <c r="AL7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7" s="61" t="str">
        <f>IF(N(tblCases[[#This Row],[次回ID番号]])=0,"",IFERROR(MATCH(tblCases[[#This Row],[案件ID]]&amp;"|"&amp;tblCases[[#This Row],[次回ID番号]],tblTasks[照合キー],0),""))</f>
        <v/>
      </c>
      <c r="AN7" s="61">
        <f>IF(tblCases[[#This Row],[案件ID]]="",0,COUNTIFS(tblTasks[案件ID],tblCases[[#This Row],[案件ID]],tblTasks[表示区分],"期限未設定"))</f>
        <v>0</v>
      </c>
      <c r="AO7" s="61">
        <f>IF(tblCases[[#This Row],[案件ID]]="",0,COUNTIFS(tblTasks[案件ID],tblCases[[#This Row],[案件ID]],tblTasks[未完了],1,tblTasks[区分],"社内確認"))</f>
        <v>0</v>
      </c>
      <c r="AP7" s="61">
        <f>IF(OR(HomeStaff="",HomeStaff="全員",HomeStaff=tblCases[[#This Row],[社内担当]]),1,0)</f>
        <v>1</v>
      </c>
      <c r="AQ7" s="61">
        <f>IF(AND(tblCases[[#This Row],[進行中]]=1,tblCases[[#This Row],[次回期限値]]=0,tblCases[[#This Row],[担当一致]]=1),1,0)</f>
        <v>0</v>
      </c>
      <c r="AR7" s="61">
        <f>INT(N(tblCases[[#This Row],[最新接点値]]))*100000+N(tblCases[[#This Row],[ID番号]])</f>
        <v>0</v>
      </c>
      <c r="AS7" s="61" t="str">
        <f>IF(tblCases[[#This Row],[未設定対象]]=1,COUNTIFS(tblCases[未設定対象],1,tblCases[並びキー],"&lt;"&amp;tblCases[[#This Row],[並びキー]])+1,"")</f>
        <v/>
      </c>
      <c r="AT7" s="61" t="str">
        <f>IFERROR(VALUE(MID(tblCases[[#This Row],[案件ID]],2,20)),"")</f>
        <v/>
      </c>
    </row>
    <row r="8">
      <c r="A8" s="49" t="n"/>
      <c r="B8" s="49" t="n"/>
      <c r="C8" s="50" t="str">
        <f>IF(tblCases[[#This Row],[顧客ID]]="","",IFERROR(INDEX(tblCustomers[会社名],MATCH(tblCases[[#This Row],[顧客ID]],tblCustomers[顧客ID],0))&amp;"","（未登録の顧客ID）"))</f>
        <v/>
      </c>
      <c r="D8" s="51" t="n"/>
      <c r="E8" s="52" t="n"/>
      <c r="F8" s="52" t="n"/>
      <c r="G8" s="52" t="n"/>
      <c r="H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8" s="53" t="str">
        <f>IF(tblCases[[#This Row],[案件ID]]="","",IF(tblCases[[#This Row],[最新会話値]]=0,"なし",tblCases[[#This Row],[最新会話値]]))</f>
        <v/>
      </c>
      <c r="J8" s="53" t="str">
        <f>IF(tblCases[[#This Row],[案件ID]]="","",IF(tblCases[[#This Row],[最新接点値]]=0,"履歴なし",tblCases[[#This Row],[最新接点値]]))</f>
        <v/>
      </c>
      <c r="K8" s="54" t="str">
        <f>IF(OR(tblCases[[#This Row],[案件ID]]="",tblCases[[#This Row],[最新接点値]]=0),"",RefDate-INT(tblCases[[#This Row],[最新接点値]]))</f>
        <v/>
      </c>
      <c r="L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8" s="55" t="str">
        <f>IF(tblCases[[#This Row],[次回行]]="","",INDEX(tblTasks[担当者],tblCases[[#This Row],[次回行]])&amp;"")</f>
        <v/>
      </c>
      <c r="N8" s="56" t="str">
        <f>IF(tblCases[[#This Row],[次回行]]="","",tblCases[[#This Row],[次回期限値]])</f>
        <v/>
      </c>
      <c r="O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8" s="49" t="n"/>
      <c r="Q8" s="57" t="str">
        <f>IF(tblCases[[#This Row],[顧客側担当者ID]]="","",IFERROR(INDEX(tblContacts[氏名],MATCH(tblCases[[#This Row],[顧客側担当者ID]],tblContacts[担当者ID],0))&amp;"","（未登録のID）"))</f>
        <v/>
      </c>
      <c r="R8" s="49" t="n"/>
      <c r="S8" s="58" t="n"/>
      <c r="T8" s="59" t="n"/>
      <c r="U8" s="60" t="n"/>
      <c r="V8" s="60" t="n"/>
      <c r="W8" s="51" t="n"/>
      <c r="X8" s="51" t="n"/>
      <c r="Y8" s="51" t="n"/>
      <c r="Z8" s="51" t="n"/>
      <c r="AA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8" s="61" t="str">
        <f>IF(tblCases[[#This Row],[営業段階]]="","",IFERROR(INDEX(lst_StageKind,MATCH(tblCases[[#This Row],[営業段階]],lst_Stage,0))&amp;"","候補外"))</f>
        <v/>
      </c>
      <c r="AC8" s="61" t="str">
        <f>IF(tblCases[[#This Row],[追客状態]]="","",IFERROR(INDEX(lst_StatusKind,MATCH(tblCases[[#This Row],[追客状態]],lst_Status,0))&amp;"","候補外"))</f>
        <v/>
      </c>
      <c r="AD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8" s="61">
        <f>IF(AND(tblCases[[#This Row],[案件ID]]&lt;&gt;"",OR(tblCases[[#This Row],[状態区分]]="進行",tblCases[[#This Row],[状態区分]]="待機")),1,0)</f>
        <v>0</v>
      </c>
      <c r="AG8" s="62">
        <f>IF(tblCases[[#This Row],[案件ID]]="",0,_xlfn.MAXIFS(tblHistory[実施日時],tblHistory[案件ID],tblCases[[#This Row],[案件ID]],tblHistory[集計対象],1))</f>
        <v>0.0</v>
      </c>
      <c r="AH8" s="62">
        <f>IF(tblCases[[#This Row],[案件ID]]="",0,_xlfn.MAXIFS(tblHistory[実施日時],tblHistory[案件ID],tblCases[[#This Row],[案件ID]],tblHistory[集計対象],1,tblHistory[実接点],1))</f>
        <v>0.0</v>
      </c>
      <c r="AI8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8" s="61" t="str">
        <f>IF(N(tblCases[[#This Row],[最新ID番号]])=0,"",IFERROR(MATCH(tblCases[[#This Row],[案件ID]]&amp;"|"&amp;tblCases[[#This Row],[最新ID番号]],tblHistory[照合キー],0),""))</f>
        <v/>
      </c>
      <c r="AK8" s="63">
        <f>IF(tblCases[[#This Row],[案件ID]]="",0,_xlfn.MINIFS(tblTasks[期限日],tblTasks[案件ID],tblCases[[#This Row],[案件ID]],tblTasks[次回候補],1))</f>
        <v>0.0</v>
      </c>
      <c r="AL8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8" s="61" t="str">
        <f>IF(N(tblCases[[#This Row],[次回ID番号]])=0,"",IFERROR(MATCH(tblCases[[#This Row],[案件ID]]&amp;"|"&amp;tblCases[[#This Row],[次回ID番号]],tblTasks[照合キー],0),""))</f>
        <v/>
      </c>
      <c r="AN8" s="61">
        <f>IF(tblCases[[#This Row],[案件ID]]="",0,COUNTIFS(tblTasks[案件ID],tblCases[[#This Row],[案件ID]],tblTasks[表示区分],"期限未設定"))</f>
        <v>0</v>
      </c>
      <c r="AO8" s="61">
        <f>IF(tblCases[[#This Row],[案件ID]]="",0,COUNTIFS(tblTasks[案件ID],tblCases[[#This Row],[案件ID]],tblTasks[未完了],1,tblTasks[区分],"社内確認"))</f>
        <v>0</v>
      </c>
      <c r="AP8" s="61">
        <f>IF(OR(HomeStaff="",HomeStaff="全員",HomeStaff=tblCases[[#This Row],[社内担当]]),1,0)</f>
        <v>1</v>
      </c>
      <c r="AQ8" s="61">
        <f>IF(AND(tblCases[[#This Row],[進行中]]=1,tblCases[[#This Row],[次回期限値]]=0,tblCases[[#This Row],[担当一致]]=1),1,0)</f>
        <v>0</v>
      </c>
      <c r="AR8" s="61">
        <f>INT(N(tblCases[[#This Row],[最新接点値]]))*100000+N(tblCases[[#This Row],[ID番号]])</f>
        <v>0</v>
      </c>
      <c r="AS8" s="61" t="str">
        <f>IF(tblCases[[#This Row],[未設定対象]]=1,COUNTIFS(tblCases[未設定対象],1,tblCases[並びキー],"&lt;"&amp;tblCases[[#This Row],[並びキー]])+1,"")</f>
        <v/>
      </c>
      <c r="AT8" s="61" t="str">
        <f>IFERROR(VALUE(MID(tblCases[[#This Row],[案件ID]],2,20)),"")</f>
        <v/>
      </c>
    </row>
    <row r="9">
      <c r="A9" s="49" t="n"/>
      <c r="B9" s="49" t="n"/>
      <c r="C9" s="50" t="str">
        <f>IF(tblCases[[#This Row],[顧客ID]]="","",IFERROR(INDEX(tblCustomers[会社名],MATCH(tblCases[[#This Row],[顧客ID]],tblCustomers[顧客ID],0))&amp;"","（未登録の顧客ID）"))</f>
        <v/>
      </c>
      <c r="D9" s="51" t="n"/>
      <c r="E9" s="52" t="n"/>
      <c r="F9" s="52" t="n"/>
      <c r="G9" s="52" t="n"/>
      <c r="H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9" s="53" t="str">
        <f>IF(tblCases[[#This Row],[案件ID]]="","",IF(tblCases[[#This Row],[最新会話値]]=0,"なし",tblCases[[#This Row],[最新会話値]]))</f>
        <v/>
      </c>
      <c r="J9" s="53" t="str">
        <f>IF(tblCases[[#This Row],[案件ID]]="","",IF(tblCases[[#This Row],[最新接点値]]=0,"履歴なし",tblCases[[#This Row],[最新接点値]]))</f>
        <v/>
      </c>
      <c r="K9" s="54" t="str">
        <f>IF(OR(tblCases[[#This Row],[案件ID]]="",tblCases[[#This Row],[最新接点値]]=0),"",RefDate-INT(tblCases[[#This Row],[最新接点値]]))</f>
        <v/>
      </c>
      <c r="L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9" s="55" t="str">
        <f>IF(tblCases[[#This Row],[次回行]]="","",INDEX(tblTasks[担当者],tblCases[[#This Row],[次回行]])&amp;"")</f>
        <v/>
      </c>
      <c r="N9" s="56" t="str">
        <f>IF(tblCases[[#This Row],[次回行]]="","",tblCases[[#This Row],[次回期限値]])</f>
        <v/>
      </c>
      <c r="O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9" s="49" t="n"/>
      <c r="Q9" s="57" t="str">
        <f>IF(tblCases[[#This Row],[顧客側担当者ID]]="","",IFERROR(INDEX(tblContacts[氏名],MATCH(tblCases[[#This Row],[顧客側担当者ID]],tblContacts[担当者ID],0))&amp;"","（未登録のID）"))</f>
        <v/>
      </c>
      <c r="R9" s="49" t="n"/>
      <c r="S9" s="58" t="n"/>
      <c r="T9" s="59" t="n"/>
      <c r="U9" s="60" t="n"/>
      <c r="V9" s="60" t="n"/>
      <c r="W9" s="51" t="n"/>
      <c r="X9" s="51" t="n"/>
      <c r="Y9" s="51" t="n"/>
      <c r="Z9" s="51" t="n"/>
      <c r="AA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9" s="61" t="str">
        <f>IF(tblCases[[#This Row],[営業段階]]="","",IFERROR(INDEX(lst_StageKind,MATCH(tblCases[[#This Row],[営業段階]],lst_Stage,0))&amp;"","候補外"))</f>
        <v/>
      </c>
      <c r="AC9" s="61" t="str">
        <f>IF(tblCases[[#This Row],[追客状態]]="","",IFERROR(INDEX(lst_StatusKind,MATCH(tblCases[[#This Row],[追客状態]],lst_Status,0))&amp;"","候補外"))</f>
        <v/>
      </c>
      <c r="AD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9" s="61">
        <f>IF(AND(tblCases[[#This Row],[案件ID]]&lt;&gt;"",OR(tblCases[[#This Row],[状態区分]]="進行",tblCases[[#This Row],[状態区分]]="待機")),1,0)</f>
        <v>0</v>
      </c>
      <c r="AG9" s="62">
        <f>IF(tblCases[[#This Row],[案件ID]]="",0,_xlfn.MAXIFS(tblHistory[実施日時],tblHistory[案件ID],tblCases[[#This Row],[案件ID]],tblHistory[集計対象],1))</f>
        <v>0.0</v>
      </c>
      <c r="AH9" s="62">
        <f>IF(tblCases[[#This Row],[案件ID]]="",0,_xlfn.MAXIFS(tblHistory[実施日時],tblHistory[案件ID],tblCases[[#This Row],[案件ID]],tblHistory[集計対象],1,tblHistory[実接点],1))</f>
        <v>0.0</v>
      </c>
      <c r="AI9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9" s="61" t="str">
        <f>IF(N(tblCases[[#This Row],[最新ID番号]])=0,"",IFERROR(MATCH(tblCases[[#This Row],[案件ID]]&amp;"|"&amp;tblCases[[#This Row],[最新ID番号]],tblHistory[照合キー],0),""))</f>
        <v/>
      </c>
      <c r="AK9" s="63">
        <f>IF(tblCases[[#This Row],[案件ID]]="",0,_xlfn.MINIFS(tblTasks[期限日],tblTasks[案件ID],tblCases[[#This Row],[案件ID]],tblTasks[次回候補],1))</f>
        <v>0.0</v>
      </c>
      <c r="AL9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9" s="61" t="str">
        <f>IF(N(tblCases[[#This Row],[次回ID番号]])=0,"",IFERROR(MATCH(tblCases[[#This Row],[案件ID]]&amp;"|"&amp;tblCases[[#This Row],[次回ID番号]],tblTasks[照合キー],0),""))</f>
        <v/>
      </c>
      <c r="AN9" s="61">
        <f>IF(tblCases[[#This Row],[案件ID]]="",0,COUNTIFS(tblTasks[案件ID],tblCases[[#This Row],[案件ID]],tblTasks[表示区分],"期限未設定"))</f>
        <v>0</v>
      </c>
      <c r="AO9" s="61">
        <f>IF(tblCases[[#This Row],[案件ID]]="",0,COUNTIFS(tblTasks[案件ID],tblCases[[#This Row],[案件ID]],tblTasks[未完了],1,tblTasks[区分],"社内確認"))</f>
        <v>0</v>
      </c>
      <c r="AP9" s="61">
        <f>IF(OR(HomeStaff="",HomeStaff="全員",HomeStaff=tblCases[[#This Row],[社内担当]]),1,0)</f>
        <v>1</v>
      </c>
      <c r="AQ9" s="61">
        <f>IF(AND(tblCases[[#This Row],[進行中]]=1,tblCases[[#This Row],[次回期限値]]=0,tblCases[[#This Row],[担当一致]]=1),1,0)</f>
        <v>0</v>
      </c>
      <c r="AR9" s="61">
        <f>INT(N(tblCases[[#This Row],[最新接点値]]))*100000+N(tblCases[[#This Row],[ID番号]])</f>
        <v>0</v>
      </c>
      <c r="AS9" s="61" t="str">
        <f>IF(tblCases[[#This Row],[未設定対象]]=1,COUNTIFS(tblCases[未設定対象],1,tblCases[並びキー],"&lt;"&amp;tblCases[[#This Row],[並びキー]])+1,"")</f>
        <v/>
      </c>
      <c r="AT9" s="61" t="str">
        <f>IFERROR(VALUE(MID(tblCases[[#This Row],[案件ID]],2,20)),"")</f>
        <v/>
      </c>
    </row>
    <row r="10">
      <c r="A10" s="49" t="n"/>
      <c r="B10" s="49" t="n"/>
      <c r="C10" s="50" t="str">
        <f>IF(tblCases[[#This Row],[顧客ID]]="","",IFERROR(INDEX(tblCustomers[会社名],MATCH(tblCases[[#This Row],[顧客ID]],tblCustomers[顧客ID],0))&amp;"","（未登録の顧客ID）"))</f>
        <v/>
      </c>
      <c r="D10" s="51" t="n"/>
      <c r="E10" s="52" t="n"/>
      <c r="F10" s="52" t="n"/>
      <c r="G10" s="52" t="n"/>
      <c r="H1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0" s="53" t="str">
        <f>IF(tblCases[[#This Row],[案件ID]]="","",IF(tblCases[[#This Row],[最新会話値]]=0,"なし",tblCases[[#This Row],[最新会話値]]))</f>
        <v/>
      </c>
      <c r="J10" s="53" t="str">
        <f>IF(tblCases[[#This Row],[案件ID]]="","",IF(tblCases[[#This Row],[最新接点値]]=0,"履歴なし",tblCases[[#This Row],[最新接点値]]))</f>
        <v/>
      </c>
      <c r="K10" s="54" t="str">
        <f>IF(OR(tblCases[[#This Row],[案件ID]]="",tblCases[[#This Row],[最新接点値]]=0),"",RefDate-INT(tblCases[[#This Row],[最新接点値]]))</f>
        <v/>
      </c>
      <c r="L1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0" s="55" t="str">
        <f>IF(tblCases[[#This Row],[次回行]]="","",INDEX(tblTasks[担当者],tblCases[[#This Row],[次回行]])&amp;"")</f>
        <v/>
      </c>
      <c r="N10" s="56" t="str">
        <f>IF(tblCases[[#This Row],[次回行]]="","",tblCases[[#This Row],[次回期限値]])</f>
        <v/>
      </c>
      <c r="O1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0" s="49" t="n"/>
      <c r="Q10" s="57" t="str">
        <f>IF(tblCases[[#This Row],[顧客側担当者ID]]="","",IFERROR(INDEX(tblContacts[氏名],MATCH(tblCases[[#This Row],[顧客側担当者ID]],tblContacts[担当者ID],0))&amp;"","（未登録のID）"))</f>
        <v/>
      </c>
      <c r="R10" s="49" t="n"/>
      <c r="S10" s="58" t="n"/>
      <c r="T10" s="59" t="n"/>
      <c r="U10" s="60" t="n"/>
      <c r="V10" s="60" t="n"/>
      <c r="W10" s="51" t="n"/>
      <c r="X10" s="51" t="n"/>
      <c r="Y10" s="51" t="n"/>
      <c r="Z10" s="51" t="n"/>
      <c r="AA1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0" s="61" t="str">
        <f>IF(tblCases[[#This Row],[営業段階]]="","",IFERROR(INDEX(lst_StageKind,MATCH(tblCases[[#This Row],[営業段階]],lst_Stage,0))&amp;"","候補外"))</f>
        <v/>
      </c>
      <c r="AC10" s="61" t="str">
        <f>IF(tblCases[[#This Row],[追客状態]]="","",IFERROR(INDEX(lst_StatusKind,MATCH(tblCases[[#This Row],[追客状態]],lst_Status,0))&amp;"","候補外"))</f>
        <v/>
      </c>
      <c r="AD1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0" s="61">
        <f>IF(AND(tblCases[[#This Row],[案件ID]]&lt;&gt;"",OR(tblCases[[#This Row],[状態区分]]="進行",tblCases[[#This Row],[状態区分]]="待機")),1,0)</f>
        <v>0</v>
      </c>
      <c r="AG10" s="62">
        <f>IF(tblCases[[#This Row],[案件ID]]="",0,_xlfn.MAXIFS(tblHistory[実施日時],tblHistory[案件ID],tblCases[[#This Row],[案件ID]],tblHistory[集計対象],1))</f>
        <v>0.0</v>
      </c>
      <c r="AH10" s="62">
        <f>IF(tblCases[[#This Row],[案件ID]]="",0,_xlfn.MAXIFS(tblHistory[実施日時],tblHistory[案件ID],tblCases[[#This Row],[案件ID]],tblHistory[集計対象],1,tblHistory[実接点],1))</f>
        <v>0.0</v>
      </c>
      <c r="AI10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0" s="61" t="str">
        <f>IF(N(tblCases[[#This Row],[最新ID番号]])=0,"",IFERROR(MATCH(tblCases[[#This Row],[案件ID]]&amp;"|"&amp;tblCases[[#This Row],[最新ID番号]],tblHistory[照合キー],0),""))</f>
        <v/>
      </c>
      <c r="AK10" s="63">
        <f>IF(tblCases[[#This Row],[案件ID]]="",0,_xlfn.MINIFS(tblTasks[期限日],tblTasks[案件ID],tblCases[[#This Row],[案件ID]],tblTasks[次回候補],1))</f>
        <v>0.0</v>
      </c>
      <c r="AL1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0" s="61" t="str">
        <f>IF(N(tblCases[[#This Row],[次回ID番号]])=0,"",IFERROR(MATCH(tblCases[[#This Row],[案件ID]]&amp;"|"&amp;tblCases[[#This Row],[次回ID番号]],tblTasks[照合キー],0),""))</f>
        <v/>
      </c>
      <c r="AN10" s="61">
        <f>IF(tblCases[[#This Row],[案件ID]]="",0,COUNTIFS(tblTasks[案件ID],tblCases[[#This Row],[案件ID]],tblTasks[表示区分],"期限未設定"))</f>
        <v>0</v>
      </c>
      <c r="AO10" s="61">
        <f>IF(tblCases[[#This Row],[案件ID]]="",0,COUNTIFS(tblTasks[案件ID],tblCases[[#This Row],[案件ID]],tblTasks[未完了],1,tblTasks[区分],"社内確認"))</f>
        <v>0</v>
      </c>
      <c r="AP10" s="61">
        <f>IF(OR(HomeStaff="",HomeStaff="全員",HomeStaff=tblCases[[#This Row],[社内担当]]),1,0)</f>
        <v>1</v>
      </c>
      <c r="AQ10" s="61">
        <f>IF(AND(tblCases[[#This Row],[進行中]]=1,tblCases[[#This Row],[次回期限値]]=0,tblCases[[#This Row],[担当一致]]=1),1,0)</f>
        <v>0</v>
      </c>
      <c r="AR10" s="61">
        <f>INT(N(tblCases[[#This Row],[最新接点値]]))*100000+N(tblCases[[#This Row],[ID番号]])</f>
        <v>0</v>
      </c>
      <c r="AS10" s="61" t="str">
        <f>IF(tblCases[[#This Row],[未設定対象]]=1,COUNTIFS(tblCases[未設定対象],1,tblCases[並びキー],"&lt;"&amp;tblCases[[#This Row],[並びキー]])+1,"")</f>
        <v/>
      </c>
      <c r="AT10" s="61" t="str">
        <f>IFERROR(VALUE(MID(tblCases[[#This Row],[案件ID]],2,20)),"")</f>
        <v/>
      </c>
    </row>
    <row r="11">
      <c r="A11" s="49" t="n"/>
      <c r="B11" s="49" t="n"/>
      <c r="C11" s="50" t="str">
        <f>IF(tblCases[[#This Row],[顧客ID]]="","",IFERROR(INDEX(tblCustomers[会社名],MATCH(tblCases[[#This Row],[顧客ID]],tblCustomers[顧客ID],0))&amp;"","（未登録の顧客ID）"))</f>
        <v/>
      </c>
      <c r="D11" s="51" t="n"/>
      <c r="E11" s="52" t="n"/>
      <c r="F11" s="52" t="n"/>
      <c r="G11" s="52" t="n"/>
      <c r="H1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1" s="53" t="str">
        <f>IF(tblCases[[#This Row],[案件ID]]="","",IF(tblCases[[#This Row],[最新会話値]]=0,"なし",tblCases[[#This Row],[最新会話値]]))</f>
        <v/>
      </c>
      <c r="J11" s="53" t="str">
        <f>IF(tblCases[[#This Row],[案件ID]]="","",IF(tblCases[[#This Row],[最新接点値]]=0,"履歴なし",tblCases[[#This Row],[最新接点値]]))</f>
        <v/>
      </c>
      <c r="K11" s="54" t="str">
        <f>IF(OR(tblCases[[#This Row],[案件ID]]="",tblCases[[#This Row],[最新接点値]]=0),"",RefDate-INT(tblCases[[#This Row],[最新接点値]]))</f>
        <v/>
      </c>
      <c r="L1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1" s="55" t="str">
        <f>IF(tblCases[[#This Row],[次回行]]="","",INDEX(tblTasks[担当者],tblCases[[#This Row],[次回行]])&amp;"")</f>
        <v/>
      </c>
      <c r="N11" s="56" t="str">
        <f>IF(tblCases[[#This Row],[次回行]]="","",tblCases[[#This Row],[次回期限値]])</f>
        <v/>
      </c>
      <c r="O1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1" s="49" t="n"/>
      <c r="Q11" s="57" t="str">
        <f>IF(tblCases[[#This Row],[顧客側担当者ID]]="","",IFERROR(INDEX(tblContacts[氏名],MATCH(tblCases[[#This Row],[顧客側担当者ID]],tblContacts[担当者ID],0))&amp;"","（未登録のID）"))</f>
        <v/>
      </c>
      <c r="R11" s="49" t="n"/>
      <c r="S11" s="58" t="n"/>
      <c r="T11" s="59" t="n"/>
      <c r="U11" s="60" t="n"/>
      <c r="V11" s="60" t="n"/>
      <c r="W11" s="51" t="n"/>
      <c r="X11" s="51" t="n"/>
      <c r="Y11" s="51" t="n"/>
      <c r="Z11" s="51" t="n"/>
      <c r="AA1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1" s="61" t="str">
        <f>IF(tblCases[[#This Row],[営業段階]]="","",IFERROR(INDEX(lst_StageKind,MATCH(tblCases[[#This Row],[営業段階]],lst_Stage,0))&amp;"","候補外"))</f>
        <v/>
      </c>
      <c r="AC11" s="61" t="str">
        <f>IF(tblCases[[#This Row],[追客状態]]="","",IFERROR(INDEX(lst_StatusKind,MATCH(tblCases[[#This Row],[追客状態]],lst_Status,0))&amp;"","候補外"))</f>
        <v/>
      </c>
      <c r="AD1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1" s="61">
        <f>IF(AND(tblCases[[#This Row],[案件ID]]&lt;&gt;"",OR(tblCases[[#This Row],[状態区分]]="進行",tblCases[[#This Row],[状態区分]]="待機")),1,0)</f>
        <v>0</v>
      </c>
      <c r="AG11" s="62">
        <f>IF(tblCases[[#This Row],[案件ID]]="",0,_xlfn.MAXIFS(tblHistory[実施日時],tblHistory[案件ID],tblCases[[#This Row],[案件ID]],tblHistory[集計対象],1))</f>
        <v>0.0</v>
      </c>
      <c r="AH11" s="62">
        <f>IF(tblCases[[#This Row],[案件ID]]="",0,_xlfn.MAXIFS(tblHistory[実施日時],tblHistory[案件ID],tblCases[[#This Row],[案件ID]],tblHistory[集計対象],1,tblHistory[実接点],1))</f>
        <v>0.0</v>
      </c>
      <c r="AI11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1" s="61" t="str">
        <f>IF(N(tblCases[[#This Row],[最新ID番号]])=0,"",IFERROR(MATCH(tblCases[[#This Row],[案件ID]]&amp;"|"&amp;tblCases[[#This Row],[最新ID番号]],tblHistory[照合キー],0),""))</f>
        <v/>
      </c>
      <c r="AK11" s="63">
        <f>IF(tblCases[[#This Row],[案件ID]]="",0,_xlfn.MINIFS(tblTasks[期限日],tblTasks[案件ID],tblCases[[#This Row],[案件ID]],tblTasks[次回候補],1))</f>
        <v>0.0</v>
      </c>
      <c r="AL1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1" s="61" t="str">
        <f>IF(N(tblCases[[#This Row],[次回ID番号]])=0,"",IFERROR(MATCH(tblCases[[#This Row],[案件ID]]&amp;"|"&amp;tblCases[[#This Row],[次回ID番号]],tblTasks[照合キー],0),""))</f>
        <v/>
      </c>
      <c r="AN11" s="61">
        <f>IF(tblCases[[#This Row],[案件ID]]="",0,COUNTIFS(tblTasks[案件ID],tblCases[[#This Row],[案件ID]],tblTasks[表示区分],"期限未設定"))</f>
        <v>0</v>
      </c>
      <c r="AO11" s="61">
        <f>IF(tblCases[[#This Row],[案件ID]]="",0,COUNTIFS(tblTasks[案件ID],tblCases[[#This Row],[案件ID]],tblTasks[未完了],1,tblTasks[区分],"社内確認"))</f>
        <v>0</v>
      </c>
      <c r="AP11" s="61">
        <f>IF(OR(HomeStaff="",HomeStaff="全員",HomeStaff=tblCases[[#This Row],[社内担当]]),1,0)</f>
        <v>1</v>
      </c>
      <c r="AQ11" s="61">
        <f>IF(AND(tblCases[[#This Row],[進行中]]=1,tblCases[[#This Row],[次回期限値]]=0,tblCases[[#This Row],[担当一致]]=1),1,0)</f>
        <v>0</v>
      </c>
      <c r="AR11" s="61">
        <f>INT(N(tblCases[[#This Row],[最新接点値]]))*100000+N(tblCases[[#This Row],[ID番号]])</f>
        <v>0</v>
      </c>
      <c r="AS11" s="61" t="str">
        <f>IF(tblCases[[#This Row],[未設定対象]]=1,COUNTIFS(tblCases[未設定対象],1,tblCases[並びキー],"&lt;"&amp;tblCases[[#This Row],[並びキー]])+1,"")</f>
        <v/>
      </c>
      <c r="AT11" s="61" t="str">
        <f>IFERROR(VALUE(MID(tblCases[[#This Row],[案件ID]],2,20)),"")</f>
        <v/>
      </c>
    </row>
    <row r="12">
      <c r="A12" s="49" t="n"/>
      <c r="B12" s="49" t="n"/>
      <c r="C12" s="50" t="str">
        <f>IF(tblCases[[#This Row],[顧客ID]]="","",IFERROR(INDEX(tblCustomers[会社名],MATCH(tblCases[[#This Row],[顧客ID]],tblCustomers[顧客ID],0))&amp;"","（未登録の顧客ID）"))</f>
        <v/>
      </c>
      <c r="D12" s="51" t="n"/>
      <c r="E12" s="52" t="n"/>
      <c r="F12" s="52" t="n"/>
      <c r="G12" s="52" t="n"/>
      <c r="H1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2" s="53" t="str">
        <f>IF(tblCases[[#This Row],[案件ID]]="","",IF(tblCases[[#This Row],[最新会話値]]=0,"なし",tblCases[[#This Row],[最新会話値]]))</f>
        <v/>
      </c>
      <c r="J12" s="53" t="str">
        <f>IF(tblCases[[#This Row],[案件ID]]="","",IF(tblCases[[#This Row],[最新接点値]]=0,"履歴なし",tblCases[[#This Row],[最新接点値]]))</f>
        <v/>
      </c>
      <c r="K12" s="54" t="str">
        <f>IF(OR(tblCases[[#This Row],[案件ID]]="",tblCases[[#This Row],[最新接点値]]=0),"",RefDate-INT(tblCases[[#This Row],[最新接点値]]))</f>
        <v/>
      </c>
      <c r="L1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2" s="55" t="str">
        <f>IF(tblCases[[#This Row],[次回行]]="","",INDEX(tblTasks[担当者],tblCases[[#This Row],[次回行]])&amp;"")</f>
        <v/>
      </c>
      <c r="N12" s="56" t="str">
        <f>IF(tblCases[[#This Row],[次回行]]="","",tblCases[[#This Row],[次回期限値]])</f>
        <v/>
      </c>
      <c r="O1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2" s="49" t="n"/>
      <c r="Q12" s="57" t="str">
        <f>IF(tblCases[[#This Row],[顧客側担当者ID]]="","",IFERROR(INDEX(tblContacts[氏名],MATCH(tblCases[[#This Row],[顧客側担当者ID]],tblContacts[担当者ID],0))&amp;"","（未登録のID）"))</f>
        <v/>
      </c>
      <c r="R12" s="49" t="n"/>
      <c r="S12" s="58" t="n"/>
      <c r="T12" s="59" t="n"/>
      <c r="U12" s="60" t="n"/>
      <c r="V12" s="60" t="n"/>
      <c r="W12" s="51" t="n"/>
      <c r="X12" s="51" t="n"/>
      <c r="Y12" s="51" t="n"/>
      <c r="Z12" s="51" t="n"/>
      <c r="AA1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2" s="61" t="str">
        <f>IF(tblCases[[#This Row],[営業段階]]="","",IFERROR(INDEX(lst_StageKind,MATCH(tblCases[[#This Row],[営業段階]],lst_Stage,0))&amp;"","候補外"))</f>
        <v/>
      </c>
      <c r="AC12" s="61" t="str">
        <f>IF(tblCases[[#This Row],[追客状態]]="","",IFERROR(INDEX(lst_StatusKind,MATCH(tblCases[[#This Row],[追客状態]],lst_Status,0))&amp;"","候補外"))</f>
        <v/>
      </c>
      <c r="AD1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2" s="61">
        <f>IF(AND(tblCases[[#This Row],[案件ID]]&lt;&gt;"",OR(tblCases[[#This Row],[状態区分]]="進行",tblCases[[#This Row],[状態区分]]="待機")),1,0)</f>
        <v>0</v>
      </c>
      <c r="AG12" s="62">
        <f>IF(tblCases[[#This Row],[案件ID]]="",0,_xlfn.MAXIFS(tblHistory[実施日時],tblHistory[案件ID],tblCases[[#This Row],[案件ID]],tblHistory[集計対象],1))</f>
        <v>0.0</v>
      </c>
      <c r="AH12" s="62">
        <f>IF(tblCases[[#This Row],[案件ID]]="",0,_xlfn.MAXIFS(tblHistory[実施日時],tblHistory[案件ID],tblCases[[#This Row],[案件ID]],tblHistory[集計対象],1,tblHistory[実接点],1))</f>
        <v>0.0</v>
      </c>
      <c r="AI1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2" s="61" t="str">
        <f>IF(N(tblCases[[#This Row],[最新ID番号]])=0,"",IFERROR(MATCH(tblCases[[#This Row],[案件ID]]&amp;"|"&amp;tblCases[[#This Row],[最新ID番号]],tblHistory[照合キー],0),""))</f>
        <v/>
      </c>
      <c r="AK12" s="63">
        <f>IF(tblCases[[#This Row],[案件ID]]="",0,_xlfn.MINIFS(tblTasks[期限日],tblTasks[案件ID],tblCases[[#This Row],[案件ID]],tblTasks[次回候補],1))</f>
        <v>0.0</v>
      </c>
      <c r="AL1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2" s="61" t="str">
        <f>IF(N(tblCases[[#This Row],[次回ID番号]])=0,"",IFERROR(MATCH(tblCases[[#This Row],[案件ID]]&amp;"|"&amp;tblCases[[#This Row],[次回ID番号]],tblTasks[照合キー],0),""))</f>
        <v/>
      </c>
      <c r="AN12" s="61">
        <f>IF(tblCases[[#This Row],[案件ID]]="",0,COUNTIFS(tblTasks[案件ID],tblCases[[#This Row],[案件ID]],tblTasks[表示区分],"期限未設定"))</f>
        <v>0</v>
      </c>
      <c r="AO12" s="61">
        <f>IF(tblCases[[#This Row],[案件ID]]="",0,COUNTIFS(tblTasks[案件ID],tblCases[[#This Row],[案件ID]],tblTasks[未完了],1,tblTasks[区分],"社内確認"))</f>
        <v>0</v>
      </c>
      <c r="AP12" s="61">
        <f>IF(OR(HomeStaff="",HomeStaff="全員",HomeStaff=tblCases[[#This Row],[社内担当]]),1,0)</f>
        <v>1</v>
      </c>
      <c r="AQ12" s="61">
        <f>IF(AND(tblCases[[#This Row],[進行中]]=1,tblCases[[#This Row],[次回期限値]]=0,tblCases[[#This Row],[担当一致]]=1),1,0)</f>
        <v>0</v>
      </c>
      <c r="AR12" s="61">
        <f>INT(N(tblCases[[#This Row],[最新接点値]]))*100000+N(tblCases[[#This Row],[ID番号]])</f>
        <v>0</v>
      </c>
      <c r="AS12" s="61" t="str">
        <f>IF(tblCases[[#This Row],[未設定対象]]=1,COUNTIFS(tblCases[未設定対象],1,tblCases[並びキー],"&lt;"&amp;tblCases[[#This Row],[並びキー]])+1,"")</f>
        <v/>
      </c>
      <c r="AT12" s="61" t="str">
        <f>IFERROR(VALUE(MID(tblCases[[#This Row],[案件ID]],2,20)),"")</f>
        <v/>
      </c>
    </row>
    <row r="13">
      <c r="A13" s="49" t="n"/>
      <c r="B13" s="49" t="n"/>
      <c r="C13" s="50" t="str">
        <f>IF(tblCases[[#This Row],[顧客ID]]="","",IFERROR(INDEX(tblCustomers[会社名],MATCH(tblCases[[#This Row],[顧客ID]],tblCustomers[顧客ID],0))&amp;"","（未登録の顧客ID）"))</f>
        <v/>
      </c>
      <c r="D13" s="51" t="n"/>
      <c r="E13" s="52" t="n"/>
      <c r="F13" s="52" t="n"/>
      <c r="G13" s="52" t="n"/>
      <c r="H1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3" s="53" t="str">
        <f>IF(tblCases[[#This Row],[案件ID]]="","",IF(tblCases[[#This Row],[最新会話値]]=0,"なし",tblCases[[#This Row],[最新会話値]]))</f>
        <v/>
      </c>
      <c r="J13" s="53" t="str">
        <f>IF(tblCases[[#This Row],[案件ID]]="","",IF(tblCases[[#This Row],[最新接点値]]=0,"履歴なし",tblCases[[#This Row],[最新接点値]]))</f>
        <v/>
      </c>
      <c r="K13" s="54" t="str">
        <f>IF(OR(tblCases[[#This Row],[案件ID]]="",tblCases[[#This Row],[最新接点値]]=0),"",RefDate-INT(tblCases[[#This Row],[最新接点値]]))</f>
        <v/>
      </c>
      <c r="L1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3" s="55" t="str">
        <f>IF(tblCases[[#This Row],[次回行]]="","",INDEX(tblTasks[担当者],tblCases[[#This Row],[次回行]])&amp;"")</f>
        <v/>
      </c>
      <c r="N13" s="56" t="str">
        <f>IF(tblCases[[#This Row],[次回行]]="","",tblCases[[#This Row],[次回期限値]])</f>
        <v/>
      </c>
      <c r="O1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3" s="49" t="n"/>
      <c r="Q13" s="57" t="str">
        <f>IF(tblCases[[#This Row],[顧客側担当者ID]]="","",IFERROR(INDEX(tblContacts[氏名],MATCH(tblCases[[#This Row],[顧客側担当者ID]],tblContacts[担当者ID],0))&amp;"","（未登録のID）"))</f>
        <v/>
      </c>
      <c r="R13" s="49" t="n"/>
      <c r="S13" s="58" t="n"/>
      <c r="T13" s="59" t="n"/>
      <c r="U13" s="60" t="n"/>
      <c r="V13" s="60" t="n"/>
      <c r="W13" s="51" t="n"/>
      <c r="X13" s="51" t="n"/>
      <c r="Y13" s="51" t="n"/>
      <c r="Z13" s="51" t="n"/>
      <c r="AA1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3" s="61" t="str">
        <f>IF(tblCases[[#This Row],[営業段階]]="","",IFERROR(INDEX(lst_StageKind,MATCH(tblCases[[#This Row],[営業段階]],lst_Stage,0))&amp;"","候補外"))</f>
        <v/>
      </c>
      <c r="AC13" s="61" t="str">
        <f>IF(tblCases[[#This Row],[追客状態]]="","",IFERROR(INDEX(lst_StatusKind,MATCH(tblCases[[#This Row],[追客状態]],lst_Status,0))&amp;"","候補外"))</f>
        <v/>
      </c>
      <c r="AD1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3" s="61">
        <f>IF(AND(tblCases[[#This Row],[案件ID]]&lt;&gt;"",OR(tblCases[[#This Row],[状態区分]]="進行",tblCases[[#This Row],[状態区分]]="待機")),1,0)</f>
        <v>0</v>
      </c>
      <c r="AG13" s="62">
        <f>IF(tblCases[[#This Row],[案件ID]]="",0,_xlfn.MAXIFS(tblHistory[実施日時],tblHistory[案件ID],tblCases[[#This Row],[案件ID]],tblHistory[集計対象],1))</f>
        <v>0.0</v>
      </c>
      <c r="AH13" s="62">
        <f>IF(tblCases[[#This Row],[案件ID]]="",0,_xlfn.MAXIFS(tblHistory[実施日時],tblHistory[案件ID],tblCases[[#This Row],[案件ID]],tblHistory[集計対象],1,tblHistory[実接点],1))</f>
        <v>0.0</v>
      </c>
      <c r="AI13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3" s="61" t="str">
        <f>IF(N(tblCases[[#This Row],[最新ID番号]])=0,"",IFERROR(MATCH(tblCases[[#This Row],[案件ID]]&amp;"|"&amp;tblCases[[#This Row],[最新ID番号]],tblHistory[照合キー],0),""))</f>
        <v/>
      </c>
      <c r="AK13" s="63">
        <f>IF(tblCases[[#This Row],[案件ID]]="",0,_xlfn.MINIFS(tblTasks[期限日],tblTasks[案件ID],tblCases[[#This Row],[案件ID]],tblTasks[次回候補],1))</f>
        <v>0.0</v>
      </c>
      <c r="AL1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3" s="61" t="str">
        <f>IF(N(tblCases[[#This Row],[次回ID番号]])=0,"",IFERROR(MATCH(tblCases[[#This Row],[案件ID]]&amp;"|"&amp;tblCases[[#This Row],[次回ID番号]],tblTasks[照合キー],0),""))</f>
        <v/>
      </c>
      <c r="AN13" s="61">
        <f>IF(tblCases[[#This Row],[案件ID]]="",0,COUNTIFS(tblTasks[案件ID],tblCases[[#This Row],[案件ID]],tblTasks[表示区分],"期限未設定"))</f>
        <v>0</v>
      </c>
      <c r="AO13" s="61">
        <f>IF(tblCases[[#This Row],[案件ID]]="",0,COUNTIFS(tblTasks[案件ID],tblCases[[#This Row],[案件ID]],tblTasks[未完了],1,tblTasks[区分],"社内確認"))</f>
        <v>0</v>
      </c>
      <c r="AP13" s="61">
        <f>IF(OR(HomeStaff="",HomeStaff="全員",HomeStaff=tblCases[[#This Row],[社内担当]]),1,0)</f>
        <v>1</v>
      </c>
      <c r="AQ13" s="61">
        <f>IF(AND(tblCases[[#This Row],[進行中]]=1,tblCases[[#This Row],[次回期限値]]=0,tblCases[[#This Row],[担当一致]]=1),1,0)</f>
        <v>0</v>
      </c>
      <c r="AR13" s="61">
        <f>INT(N(tblCases[[#This Row],[最新接点値]]))*100000+N(tblCases[[#This Row],[ID番号]])</f>
        <v>0</v>
      </c>
      <c r="AS13" s="61" t="str">
        <f>IF(tblCases[[#This Row],[未設定対象]]=1,COUNTIFS(tblCases[未設定対象],1,tblCases[並びキー],"&lt;"&amp;tblCases[[#This Row],[並びキー]])+1,"")</f>
        <v/>
      </c>
      <c r="AT13" s="61" t="str">
        <f>IFERROR(VALUE(MID(tblCases[[#This Row],[案件ID]],2,20)),"")</f>
        <v/>
      </c>
    </row>
    <row r="14">
      <c r="A14" s="49" t="n"/>
      <c r="B14" s="49" t="n"/>
      <c r="C14" s="50" t="str">
        <f>IF(tblCases[[#This Row],[顧客ID]]="","",IFERROR(INDEX(tblCustomers[会社名],MATCH(tblCases[[#This Row],[顧客ID]],tblCustomers[顧客ID],0))&amp;"","（未登録の顧客ID）"))</f>
        <v/>
      </c>
      <c r="D14" s="51" t="n"/>
      <c r="E14" s="52" t="n"/>
      <c r="F14" s="52" t="n"/>
      <c r="G14" s="52" t="n"/>
      <c r="H1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4" s="53" t="str">
        <f>IF(tblCases[[#This Row],[案件ID]]="","",IF(tblCases[[#This Row],[最新会話値]]=0,"なし",tblCases[[#This Row],[最新会話値]]))</f>
        <v/>
      </c>
      <c r="J14" s="53" t="str">
        <f>IF(tblCases[[#This Row],[案件ID]]="","",IF(tblCases[[#This Row],[最新接点値]]=0,"履歴なし",tblCases[[#This Row],[最新接点値]]))</f>
        <v/>
      </c>
      <c r="K14" s="54" t="str">
        <f>IF(OR(tblCases[[#This Row],[案件ID]]="",tblCases[[#This Row],[最新接点値]]=0),"",RefDate-INT(tblCases[[#This Row],[最新接点値]]))</f>
        <v/>
      </c>
      <c r="L1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4" s="55" t="str">
        <f>IF(tblCases[[#This Row],[次回行]]="","",INDEX(tblTasks[担当者],tblCases[[#This Row],[次回行]])&amp;"")</f>
        <v/>
      </c>
      <c r="N14" s="56" t="str">
        <f>IF(tblCases[[#This Row],[次回行]]="","",tblCases[[#This Row],[次回期限値]])</f>
        <v/>
      </c>
      <c r="O1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4" s="49" t="n"/>
      <c r="Q14" s="57" t="str">
        <f>IF(tblCases[[#This Row],[顧客側担当者ID]]="","",IFERROR(INDEX(tblContacts[氏名],MATCH(tblCases[[#This Row],[顧客側担当者ID]],tblContacts[担当者ID],0))&amp;"","（未登録のID）"))</f>
        <v/>
      </c>
      <c r="R14" s="49" t="n"/>
      <c r="S14" s="58" t="n"/>
      <c r="T14" s="59" t="n"/>
      <c r="U14" s="60" t="n"/>
      <c r="V14" s="60" t="n"/>
      <c r="W14" s="51" t="n"/>
      <c r="X14" s="51" t="n"/>
      <c r="Y14" s="51" t="n"/>
      <c r="Z14" s="51" t="n"/>
      <c r="AA1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4" s="61" t="str">
        <f>IF(tblCases[[#This Row],[営業段階]]="","",IFERROR(INDEX(lst_StageKind,MATCH(tblCases[[#This Row],[営業段階]],lst_Stage,0))&amp;"","候補外"))</f>
        <v/>
      </c>
      <c r="AC14" s="61" t="str">
        <f>IF(tblCases[[#This Row],[追客状態]]="","",IFERROR(INDEX(lst_StatusKind,MATCH(tblCases[[#This Row],[追客状態]],lst_Status,0))&amp;"","候補外"))</f>
        <v/>
      </c>
      <c r="AD1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4" s="61">
        <f>IF(AND(tblCases[[#This Row],[案件ID]]&lt;&gt;"",OR(tblCases[[#This Row],[状態区分]]="進行",tblCases[[#This Row],[状態区分]]="待機")),1,0)</f>
        <v>0</v>
      </c>
      <c r="AG14" s="62">
        <f>IF(tblCases[[#This Row],[案件ID]]="",0,_xlfn.MAXIFS(tblHistory[実施日時],tblHistory[案件ID],tblCases[[#This Row],[案件ID]],tblHistory[集計対象],1))</f>
        <v>0.0</v>
      </c>
      <c r="AH14" s="62">
        <f>IF(tblCases[[#This Row],[案件ID]]="",0,_xlfn.MAXIFS(tblHistory[実施日時],tblHistory[案件ID],tblCases[[#This Row],[案件ID]],tblHistory[集計対象],1,tblHistory[実接点],1))</f>
        <v>0.0</v>
      </c>
      <c r="AI14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4" s="61" t="str">
        <f>IF(N(tblCases[[#This Row],[最新ID番号]])=0,"",IFERROR(MATCH(tblCases[[#This Row],[案件ID]]&amp;"|"&amp;tblCases[[#This Row],[最新ID番号]],tblHistory[照合キー],0),""))</f>
        <v/>
      </c>
      <c r="AK14" s="63">
        <f>IF(tblCases[[#This Row],[案件ID]]="",0,_xlfn.MINIFS(tblTasks[期限日],tblTasks[案件ID],tblCases[[#This Row],[案件ID]],tblTasks[次回候補],1))</f>
        <v>0.0</v>
      </c>
      <c r="AL14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4" s="61" t="str">
        <f>IF(N(tblCases[[#This Row],[次回ID番号]])=0,"",IFERROR(MATCH(tblCases[[#This Row],[案件ID]]&amp;"|"&amp;tblCases[[#This Row],[次回ID番号]],tblTasks[照合キー],0),""))</f>
        <v/>
      </c>
      <c r="AN14" s="61">
        <f>IF(tblCases[[#This Row],[案件ID]]="",0,COUNTIFS(tblTasks[案件ID],tblCases[[#This Row],[案件ID]],tblTasks[表示区分],"期限未設定"))</f>
        <v>0</v>
      </c>
      <c r="AO14" s="61">
        <f>IF(tblCases[[#This Row],[案件ID]]="",0,COUNTIFS(tblTasks[案件ID],tblCases[[#This Row],[案件ID]],tblTasks[未完了],1,tblTasks[区分],"社内確認"))</f>
        <v>0</v>
      </c>
      <c r="AP14" s="61">
        <f>IF(OR(HomeStaff="",HomeStaff="全員",HomeStaff=tblCases[[#This Row],[社内担当]]),1,0)</f>
        <v>1</v>
      </c>
      <c r="AQ14" s="61">
        <f>IF(AND(tblCases[[#This Row],[進行中]]=1,tblCases[[#This Row],[次回期限値]]=0,tblCases[[#This Row],[担当一致]]=1),1,0)</f>
        <v>0</v>
      </c>
      <c r="AR14" s="61">
        <f>INT(N(tblCases[[#This Row],[最新接点値]]))*100000+N(tblCases[[#This Row],[ID番号]])</f>
        <v>0</v>
      </c>
      <c r="AS14" s="61" t="str">
        <f>IF(tblCases[[#This Row],[未設定対象]]=1,COUNTIFS(tblCases[未設定対象],1,tblCases[並びキー],"&lt;"&amp;tblCases[[#This Row],[並びキー]])+1,"")</f>
        <v/>
      </c>
      <c r="AT14" s="61" t="str">
        <f>IFERROR(VALUE(MID(tblCases[[#This Row],[案件ID]],2,20)),"")</f>
        <v/>
      </c>
    </row>
    <row r="15">
      <c r="A15" s="49" t="n"/>
      <c r="B15" s="49" t="n"/>
      <c r="C15" s="50" t="str">
        <f>IF(tblCases[[#This Row],[顧客ID]]="","",IFERROR(INDEX(tblCustomers[会社名],MATCH(tblCases[[#This Row],[顧客ID]],tblCustomers[顧客ID],0))&amp;"","（未登録の顧客ID）"))</f>
        <v/>
      </c>
      <c r="D15" s="51" t="n"/>
      <c r="E15" s="52" t="n"/>
      <c r="F15" s="52" t="n"/>
      <c r="G15" s="52" t="n"/>
      <c r="H1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5" s="53" t="str">
        <f>IF(tblCases[[#This Row],[案件ID]]="","",IF(tblCases[[#This Row],[最新会話値]]=0,"なし",tblCases[[#This Row],[最新会話値]]))</f>
        <v/>
      </c>
      <c r="J15" s="53" t="str">
        <f>IF(tblCases[[#This Row],[案件ID]]="","",IF(tblCases[[#This Row],[最新接点値]]=0,"履歴なし",tblCases[[#This Row],[最新接点値]]))</f>
        <v/>
      </c>
      <c r="K15" s="54" t="str">
        <f>IF(OR(tblCases[[#This Row],[案件ID]]="",tblCases[[#This Row],[最新接点値]]=0),"",RefDate-INT(tblCases[[#This Row],[最新接点値]]))</f>
        <v/>
      </c>
      <c r="L1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5" s="55" t="str">
        <f>IF(tblCases[[#This Row],[次回行]]="","",INDEX(tblTasks[担当者],tblCases[[#This Row],[次回行]])&amp;"")</f>
        <v/>
      </c>
      <c r="N15" s="56" t="str">
        <f>IF(tblCases[[#This Row],[次回行]]="","",tblCases[[#This Row],[次回期限値]])</f>
        <v/>
      </c>
      <c r="O1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5" s="49" t="n"/>
      <c r="Q15" s="57" t="str">
        <f>IF(tblCases[[#This Row],[顧客側担当者ID]]="","",IFERROR(INDEX(tblContacts[氏名],MATCH(tblCases[[#This Row],[顧客側担当者ID]],tblContacts[担当者ID],0))&amp;"","（未登録のID）"))</f>
        <v/>
      </c>
      <c r="R15" s="49" t="n"/>
      <c r="S15" s="58" t="n"/>
      <c r="T15" s="59" t="n"/>
      <c r="U15" s="60" t="n"/>
      <c r="V15" s="60" t="n"/>
      <c r="W15" s="51" t="n"/>
      <c r="X15" s="51" t="n"/>
      <c r="Y15" s="51" t="n"/>
      <c r="Z15" s="51" t="n"/>
      <c r="AA1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5" s="61" t="str">
        <f>IF(tblCases[[#This Row],[営業段階]]="","",IFERROR(INDEX(lst_StageKind,MATCH(tblCases[[#This Row],[営業段階]],lst_Stage,0))&amp;"","候補外"))</f>
        <v/>
      </c>
      <c r="AC15" s="61" t="str">
        <f>IF(tblCases[[#This Row],[追客状態]]="","",IFERROR(INDEX(lst_StatusKind,MATCH(tblCases[[#This Row],[追客状態]],lst_Status,0))&amp;"","候補外"))</f>
        <v/>
      </c>
      <c r="AD1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5" s="61">
        <f>IF(AND(tblCases[[#This Row],[案件ID]]&lt;&gt;"",OR(tblCases[[#This Row],[状態区分]]="進行",tblCases[[#This Row],[状態区分]]="待機")),1,0)</f>
        <v>0</v>
      </c>
      <c r="AG15" s="62">
        <f>IF(tblCases[[#This Row],[案件ID]]="",0,_xlfn.MAXIFS(tblHistory[実施日時],tblHistory[案件ID],tblCases[[#This Row],[案件ID]],tblHistory[集計対象],1))</f>
        <v>0.0</v>
      </c>
      <c r="AH15" s="62">
        <f>IF(tblCases[[#This Row],[案件ID]]="",0,_xlfn.MAXIFS(tblHistory[実施日時],tblHistory[案件ID],tblCases[[#This Row],[案件ID]],tblHistory[集計対象],1,tblHistory[実接点],1))</f>
        <v>0.0</v>
      </c>
      <c r="AI15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5" s="61" t="str">
        <f>IF(N(tblCases[[#This Row],[最新ID番号]])=0,"",IFERROR(MATCH(tblCases[[#This Row],[案件ID]]&amp;"|"&amp;tblCases[[#This Row],[最新ID番号]],tblHistory[照合キー],0),""))</f>
        <v/>
      </c>
      <c r="AK15" s="63">
        <f>IF(tblCases[[#This Row],[案件ID]]="",0,_xlfn.MINIFS(tblTasks[期限日],tblTasks[案件ID],tblCases[[#This Row],[案件ID]],tblTasks[次回候補],1))</f>
        <v>0.0</v>
      </c>
      <c r="AL15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5" s="61" t="str">
        <f>IF(N(tblCases[[#This Row],[次回ID番号]])=0,"",IFERROR(MATCH(tblCases[[#This Row],[案件ID]]&amp;"|"&amp;tblCases[[#This Row],[次回ID番号]],tblTasks[照合キー],0),""))</f>
        <v/>
      </c>
      <c r="AN15" s="61">
        <f>IF(tblCases[[#This Row],[案件ID]]="",0,COUNTIFS(tblTasks[案件ID],tblCases[[#This Row],[案件ID]],tblTasks[表示区分],"期限未設定"))</f>
        <v>0</v>
      </c>
      <c r="AO15" s="61">
        <f>IF(tblCases[[#This Row],[案件ID]]="",0,COUNTIFS(tblTasks[案件ID],tblCases[[#This Row],[案件ID]],tblTasks[未完了],1,tblTasks[区分],"社内確認"))</f>
        <v>0</v>
      </c>
      <c r="AP15" s="61">
        <f>IF(OR(HomeStaff="",HomeStaff="全員",HomeStaff=tblCases[[#This Row],[社内担当]]),1,0)</f>
        <v>1</v>
      </c>
      <c r="AQ15" s="61">
        <f>IF(AND(tblCases[[#This Row],[進行中]]=1,tblCases[[#This Row],[次回期限値]]=0,tblCases[[#This Row],[担当一致]]=1),1,0)</f>
        <v>0</v>
      </c>
      <c r="AR15" s="61">
        <f>INT(N(tblCases[[#This Row],[最新接点値]]))*100000+N(tblCases[[#This Row],[ID番号]])</f>
        <v>0</v>
      </c>
      <c r="AS15" s="61" t="str">
        <f>IF(tblCases[[#This Row],[未設定対象]]=1,COUNTIFS(tblCases[未設定対象],1,tblCases[並びキー],"&lt;"&amp;tblCases[[#This Row],[並びキー]])+1,"")</f>
        <v/>
      </c>
      <c r="AT15" s="61" t="str">
        <f>IFERROR(VALUE(MID(tblCases[[#This Row],[案件ID]],2,20)),"")</f>
        <v/>
      </c>
    </row>
    <row r="16">
      <c r="A16" s="49" t="n"/>
      <c r="B16" s="49" t="n"/>
      <c r="C16" s="50" t="str">
        <f>IF(tblCases[[#This Row],[顧客ID]]="","",IFERROR(INDEX(tblCustomers[会社名],MATCH(tblCases[[#This Row],[顧客ID]],tblCustomers[顧客ID],0))&amp;"","（未登録の顧客ID）"))</f>
        <v/>
      </c>
      <c r="D16" s="51" t="n"/>
      <c r="E16" s="52" t="n"/>
      <c r="F16" s="52" t="n"/>
      <c r="G16" s="52" t="n"/>
      <c r="H1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6" s="53" t="str">
        <f>IF(tblCases[[#This Row],[案件ID]]="","",IF(tblCases[[#This Row],[最新会話値]]=0,"なし",tblCases[[#This Row],[最新会話値]]))</f>
        <v/>
      </c>
      <c r="J16" s="53" t="str">
        <f>IF(tblCases[[#This Row],[案件ID]]="","",IF(tblCases[[#This Row],[最新接点値]]=0,"履歴なし",tblCases[[#This Row],[最新接点値]]))</f>
        <v/>
      </c>
      <c r="K16" s="54" t="str">
        <f>IF(OR(tblCases[[#This Row],[案件ID]]="",tblCases[[#This Row],[最新接点値]]=0),"",RefDate-INT(tblCases[[#This Row],[最新接点値]]))</f>
        <v/>
      </c>
      <c r="L1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6" s="55" t="str">
        <f>IF(tblCases[[#This Row],[次回行]]="","",INDEX(tblTasks[担当者],tblCases[[#This Row],[次回行]])&amp;"")</f>
        <v/>
      </c>
      <c r="N16" s="56" t="str">
        <f>IF(tblCases[[#This Row],[次回行]]="","",tblCases[[#This Row],[次回期限値]])</f>
        <v/>
      </c>
      <c r="O1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6" s="49" t="n"/>
      <c r="Q16" s="57" t="str">
        <f>IF(tblCases[[#This Row],[顧客側担当者ID]]="","",IFERROR(INDEX(tblContacts[氏名],MATCH(tblCases[[#This Row],[顧客側担当者ID]],tblContacts[担当者ID],0))&amp;"","（未登録のID）"))</f>
        <v/>
      </c>
      <c r="R16" s="49" t="n"/>
      <c r="S16" s="58" t="n"/>
      <c r="T16" s="59" t="n"/>
      <c r="U16" s="60" t="n"/>
      <c r="V16" s="60" t="n"/>
      <c r="W16" s="51" t="n"/>
      <c r="X16" s="51" t="n"/>
      <c r="Y16" s="51" t="n"/>
      <c r="Z16" s="51" t="n"/>
      <c r="AA1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6" s="61" t="str">
        <f>IF(tblCases[[#This Row],[営業段階]]="","",IFERROR(INDEX(lst_StageKind,MATCH(tblCases[[#This Row],[営業段階]],lst_Stage,0))&amp;"","候補外"))</f>
        <v/>
      </c>
      <c r="AC16" s="61" t="str">
        <f>IF(tblCases[[#This Row],[追客状態]]="","",IFERROR(INDEX(lst_StatusKind,MATCH(tblCases[[#This Row],[追客状態]],lst_Status,0))&amp;"","候補外"))</f>
        <v/>
      </c>
      <c r="AD1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6" s="61">
        <f>IF(AND(tblCases[[#This Row],[案件ID]]&lt;&gt;"",OR(tblCases[[#This Row],[状態区分]]="進行",tblCases[[#This Row],[状態区分]]="待機")),1,0)</f>
        <v>0</v>
      </c>
      <c r="AG16" s="62">
        <f>IF(tblCases[[#This Row],[案件ID]]="",0,_xlfn.MAXIFS(tblHistory[実施日時],tblHistory[案件ID],tblCases[[#This Row],[案件ID]],tblHistory[集計対象],1))</f>
        <v>0.0</v>
      </c>
      <c r="AH16" s="62">
        <f>IF(tblCases[[#This Row],[案件ID]]="",0,_xlfn.MAXIFS(tblHistory[実施日時],tblHistory[案件ID],tblCases[[#This Row],[案件ID]],tblHistory[集計対象],1,tblHistory[実接点],1))</f>
        <v>0.0</v>
      </c>
      <c r="AI1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6" s="61" t="str">
        <f>IF(N(tblCases[[#This Row],[最新ID番号]])=0,"",IFERROR(MATCH(tblCases[[#This Row],[案件ID]]&amp;"|"&amp;tblCases[[#This Row],[最新ID番号]],tblHistory[照合キー],0),""))</f>
        <v/>
      </c>
      <c r="AK16" s="63">
        <f>IF(tblCases[[#This Row],[案件ID]]="",0,_xlfn.MINIFS(tblTasks[期限日],tblTasks[案件ID],tblCases[[#This Row],[案件ID]],tblTasks[次回候補],1))</f>
        <v>0.0</v>
      </c>
      <c r="AL16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6" s="61" t="str">
        <f>IF(N(tblCases[[#This Row],[次回ID番号]])=0,"",IFERROR(MATCH(tblCases[[#This Row],[案件ID]]&amp;"|"&amp;tblCases[[#This Row],[次回ID番号]],tblTasks[照合キー],0),""))</f>
        <v/>
      </c>
      <c r="AN16" s="61">
        <f>IF(tblCases[[#This Row],[案件ID]]="",0,COUNTIFS(tblTasks[案件ID],tblCases[[#This Row],[案件ID]],tblTasks[表示区分],"期限未設定"))</f>
        <v>0</v>
      </c>
      <c r="AO16" s="61">
        <f>IF(tblCases[[#This Row],[案件ID]]="",0,COUNTIFS(tblTasks[案件ID],tblCases[[#This Row],[案件ID]],tblTasks[未完了],1,tblTasks[区分],"社内確認"))</f>
        <v>0</v>
      </c>
      <c r="AP16" s="61">
        <f>IF(OR(HomeStaff="",HomeStaff="全員",HomeStaff=tblCases[[#This Row],[社内担当]]),1,0)</f>
        <v>1</v>
      </c>
      <c r="AQ16" s="61">
        <f>IF(AND(tblCases[[#This Row],[進行中]]=1,tblCases[[#This Row],[次回期限値]]=0,tblCases[[#This Row],[担当一致]]=1),1,0)</f>
        <v>0</v>
      </c>
      <c r="AR16" s="61">
        <f>INT(N(tblCases[[#This Row],[最新接点値]]))*100000+N(tblCases[[#This Row],[ID番号]])</f>
        <v>0</v>
      </c>
      <c r="AS16" s="61" t="str">
        <f>IF(tblCases[[#This Row],[未設定対象]]=1,COUNTIFS(tblCases[未設定対象],1,tblCases[並びキー],"&lt;"&amp;tblCases[[#This Row],[並びキー]])+1,"")</f>
        <v/>
      </c>
      <c r="AT16" s="61" t="str">
        <f>IFERROR(VALUE(MID(tblCases[[#This Row],[案件ID]],2,20)),"")</f>
        <v/>
      </c>
    </row>
    <row r="17">
      <c r="A17" s="49" t="n"/>
      <c r="B17" s="49" t="n"/>
      <c r="C17" s="50" t="str">
        <f>IF(tblCases[[#This Row],[顧客ID]]="","",IFERROR(INDEX(tblCustomers[会社名],MATCH(tblCases[[#This Row],[顧客ID]],tblCustomers[顧客ID],0))&amp;"","（未登録の顧客ID）"))</f>
        <v/>
      </c>
      <c r="D17" s="51" t="n"/>
      <c r="E17" s="52" t="n"/>
      <c r="F17" s="52" t="n"/>
      <c r="G17" s="52" t="n"/>
      <c r="H1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7" s="53" t="str">
        <f>IF(tblCases[[#This Row],[案件ID]]="","",IF(tblCases[[#This Row],[最新会話値]]=0,"なし",tblCases[[#This Row],[最新会話値]]))</f>
        <v/>
      </c>
      <c r="J17" s="53" t="str">
        <f>IF(tblCases[[#This Row],[案件ID]]="","",IF(tblCases[[#This Row],[最新接点値]]=0,"履歴なし",tblCases[[#This Row],[最新接点値]]))</f>
        <v/>
      </c>
      <c r="K17" s="54" t="str">
        <f>IF(OR(tblCases[[#This Row],[案件ID]]="",tblCases[[#This Row],[最新接点値]]=0),"",RefDate-INT(tblCases[[#This Row],[最新接点値]]))</f>
        <v/>
      </c>
      <c r="L1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7" s="55" t="str">
        <f>IF(tblCases[[#This Row],[次回行]]="","",INDEX(tblTasks[担当者],tblCases[[#This Row],[次回行]])&amp;"")</f>
        <v/>
      </c>
      <c r="N17" s="56" t="str">
        <f>IF(tblCases[[#This Row],[次回行]]="","",tblCases[[#This Row],[次回期限値]])</f>
        <v/>
      </c>
      <c r="O1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7" s="49" t="n"/>
      <c r="Q17" s="57" t="str">
        <f>IF(tblCases[[#This Row],[顧客側担当者ID]]="","",IFERROR(INDEX(tblContacts[氏名],MATCH(tblCases[[#This Row],[顧客側担当者ID]],tblContacts[担当者ID],0))&amp;"","（未登録のID）"))</f>
        <v/>
      </c>
      <c r="R17" s="49" t="n"/>
      <c r="S17" s="58" t="n"/>
      <c r="T17" s="59" t="n"/>
      <c r="U17" s="60" t="n"/>
      <c r="V17" s="60" t="n"/>
      <c r="W17" s="51" t="n"/>
      <c r="X17" s="51" t="n"/>
      <c r="Y17" s="51" t="n"/>
      <c r="Z17" s="51" t="n"/>
      <c r="AA1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7" s="61" t="str">
        <f>IF(tblCases[[#This Row],[営業段階]]="","",IFERROR(INDEX(lst_StageKind,MATCH(tblCases[[#This Row],[営業段階]],lst_Stage,0))&amp;"","候補外"))</f>
        <v/>
      </c>
      <c r="AC17" s="61" t="str">
        <f>IF(tblCases[[#This Row],[追客状態]]="","",IFERROR(INDEX(lst_StatusKind,MATCH(tblCases[[#This Row],[追客状態]],lst_Status,0))&amp;"","候補外"))</f>
        <v/>
      </c>
      <c r="AD1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7" s="61">
        <f>IF(AND(tblCases[[#This Row],[案件ID]]&lt;&gt;"",OR(tblCases[[#This Row],[状態区分]]="進行",tblCases[[#This Row],[状態区分]]="待機")),1,0)</f>
        <v>0</v>
      </c>
      <c r="AG17" s="62">
        <f>IF(tblCases[[#This Row],[案件ID]]="",0,_xlfn.MAXIFS(tblHistory[実施日時],tblHistory[案件ID],tblCases[[#This Row],[案件ID]],tblHistory[集計対象],1))</f>
        <v>0.0</v>
      </c>
      <c r="AH17" s="62">
        <f>IF(tblCases[[#This Row],[案件ID]]="",0,_xlfn.MAXIFS(tblHistory[実施日時],tblHistory[案件ID],tblCases[[#This Row],[案件ID]],tblHistory[集計対象],1,tblHistory[実接点],1))</f>
        <v>0.0</v>
      </c>
      <c r="AI17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7" s="61" t="str">
        <f>IF(N(tblCases[[#This Row],[最新ID番号]])=0,"",IFERROR(MATCH(tblCases[[#This Row],[案件ID]]&amp;"|"&amp;tblCases[[#This Row],[最新ID番号]],tblHistory[照合キー],0),""))</f>
        <v/>
      </c>
      <c r="AK17" s="63">
        <f>IF(tblCases[[#This Row],[案件ID]]="",0,_xlfn.MINIFS(tblTasks[期限日],tblTasks[案件ID],tblCases[[#This Row],[案件ID]],tblTasks[次回候補],1))</f>
        <v>0.0</v>
      </c>
      <c r="AL17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7" s="61" t="str">
        <f>IF(N(tblCases[[#This Row],[次回ID番号]])=0,"",IFERROR(MATCH(tblCases[[#This Row],[案件ID]]&amp;"|"&amp;tblCases[[#This Row],[次回ID番号]],tblTasks[照合キー],0),""))</f>
        <v/>
      </c>
      <c r="AN17" s="61">
        <f>IF(tblCases[[#This Row],[案件ID]]="",0,COUNTIFS(tblTasks[案件ID],tblCases[[#This Row],[案件ID]],tblTasks[表示区分],"期限未設定"))</f>
        <v>0</v>
      </c>
      <c r="AO17" s="61">
        <f>IF(tblCases[[#This Row],[案件ID]]="",0,COUNTIFS(tblTasks[案件ID],tblCases[[#This Row],[案件ID]],tblTasks[未完了],1,tblTasks[区分],"社内確認"))</f>
        <v>0</v>
      </c>
      <c r="AP17" s="61">
        <f>IF(OR(HomeStaff="",HomeStaff="全員",HomeStaff=tblCases[[#This Row],[社内担当]]),1,0)</f>
        <v>1</v>
      </c>
      <c r="AQ17" s="61">
        <f>IF(AND(tblCases[[#This Row],[進行中]]=1,tblCases[[#This Row],[次回期限値]]=0,tblCases[[#This Row],[担当一致]]=1),1,0)</f>
        <v>0</v>
      </c>
      <c r="AR17" s="61">
        <f>INT(N(tblCases[[#This Row],[最新接点値]]))*100000+N(tblCases[[#This Row],[ID番号]])</f>
        <v>0</v>
      </c>
      <c r="AS17" s="61" t="str">
        <f>IF(tblCases[[#This Row],[未設定対象]]=1,COUNTIFS(tblCases[未設定対象],1,tblCases[並びキー],"&lt;"&amp;tblCases[[#This Row],[並びキー]])+1,"")</f>
        <v/>
      </c>
      <c r="AT17" s="61" t="str">
        <f>IFERROR(VALUE(MID(tblCases[[#This Row],[案件ID]],2,20)),"")</f>
        <v/>
      </c>
    </row>
    <row r="18">
      <c r="A18" s="49" t="n"/>
      <c r="B18" s="49" t="n"/>
      <c r="C18" s="50" t="str">
        <f>IF(tblCases[[#This Row],[顧客ID]]="","",IFERROR(INDEX(tblCustomers[会社名],MATCH(tblCases[[#This Row],[顧客ID]],tblCustomers[顧客ID],0))&amp;"","（未登録の顧客ID）"))</f>
        <v/>
      </c>
      <c r="D18" s="51" t="n"/>
      <c r="E18" s="52" t="n"/>
      <c r="F18" s="52" t="n"/>
      <c r="G18" s="52" t="n"/>
      <c r="H1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8" s="53" t="str">
        <f>IF(tblCases[[#This Row],[案件ID]]="","",IF(tblCases[[#This Row],[最新会話値]]=0,"なし",tblCases[[#This Row],[最新会話値]]))</f>
        <v/>
      </c>
      <c r="J18" s="53" t="str">
        <f>IF(tblCases[[#This Row],[案件ID]]="","",IF(tblCases[[#This Row],[最新接点値]]=0,"履歴なし",tblCases[[#This Row],[最新接点値]]))</f>
        <v/>
      </c>
      <c r="K18" s="54" t="str">
        <f>IF(OR(tblCases[[#This Row],[案件ID]]="",tblCases[[#This Row],[最新接点値]]=0),"",RefDate-INT(tblCases[[#This Row],[最新接点値]]))</f>
        <v/>
      </c>
      <c r="L1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8" s="55" t="str">
        <f>IF(tblCases[[#This Row],[次回行]]="","",INDEX(tblTasks[担当者],tblCases[[#This Row],[次回行]])&amp;"")</f>
        <v/>
      </c>
      <c r="N18" s="56" t="str">
        <f>IF(tblCases[[#This Row],[次回行]]="","",tblCases[[#This Row],[次回期限値]])</f>
        <v/>
      </c>
      <c r="O1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8" s="49" t="n"/>
      <c r="Q18" s="57" t="str">
        <f>IF(tblCases[[#This Row],[顧客側担当者ID]]="","",IFERROR(INDEX(tblContacts[氏名],MATCH(tblCases[[#This Row],[顧客側担当者ID]],tblContacts[担当者ID],0))&amp;"","（未登録のID）"))</f>
        <v/>
      </c>
      <c r="R18" s="49" t="n"/>
      <c r="S18" s="58" t="n"/>
      <c r="T18" s="59" t="n"/>
      <c r="U18" s="60" t="n"/>
      <c r="V18" s="60" t="n"/>
      <c r="W18" s="51" t="n"/>
      <c r="X18" s="51" t="n"/>
      <c r="Y18" s="51" t="n"/>
      <c r="Z18" s="51" t="n"/>
      <c r="AA1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8" s="61" t="str">
        <f>IF(tblCases[[#This Row],[営業段階]]="","",IFERROR(INDEX(lst_StageKind,MATCH(tblCases[[#This Row],[営業段階]],lst_Stage,0))&amp;"","候補外"))</f>
        <v/>
      </c>
      <c r="AC18" s="61" t="str">
        <f>IF(tblCases[[#This Row],[追客状態]]="","",IFERROR(INDEX(lst_StatusKind,MATCH(tblCases[[#This Row],[追客状態]],lst_Status,0))&amp;"","候補外"))</f>
        <v/>
      </c>
      <c r="AD1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8" s="61">
        <f>IF(AND(tblCases[[#This Row],[案件ID]]&lt;&gt;"",OR(tblCases[[#This Row],[状態区分]]="進行",tblCases[[#This Row],[状態区分]]="待機")),1,0)</f>
        <v>0</v>
      </c>
      <c r="AG18" s="62">
        <f>IF(tblCases[[#This Row],[案件ID]]="",0,_xlfn.MAXIFS(tblHistory[実施日時],tblHistory[案件ID],tblCases[[#This Row],[案件ID]],tblHistory[集計対象],1))</f>
        <v>0.0</v>
      </c>
      <c r="AH18" s="62">
        <f>IF(tblCases[[#This Row],[案件ID]]="",0,_xlfn.MAXIFS(tblHistory[実施日時],tblHistory[案件ID],tblCases[[#This Row],[案件ID]],tblHistory[集計対象],1,tblHistory[実接点],1))</f>
        <v>0.0</v>
      </c>
      <c r="AI18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8" s="61" t="str">
        <f>IF(N(tblCases[[#This Row],[最新ID番号]])=0,"",IFERROR(MATCH(tblCases[[#This Row],[案件ID]]&amp;"|"&amp;tblCases[[#This Row],[最新ID番号]],tblHistory[照合キー],0),""))</f>
        <v/>
      </c>
      <c r="AK18" s="63">
        <f>IF(tblCases[[#This Row],[案件ID]]="",0,_xlfn.MINIFS(tblTasks[期限日],tblTasks[案件ID],tblCases[[#This Row],[案件ID]],tblTasks[次回候補],1))</f>
        <v>0.0</v>
      </c>
      <c r="AL18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8" s="61" t="str">
        <f>IF(N(tblCases[[#This Row],[次回ID番号]])=0,"",IFERROR(MATCH(tblCases[[#This Row],[案件ID]]&amp;"|"&amp;tblCases[[#This Row],[次回ID番号]],tblTasks[照合キー],0),""))</f>
        <v/>
      </c>
      <c r="AN18" s="61">
        <f>IF(tblCases[[#This Row],[案件ID]]="",0,COUNTIFS(tblTasks[案件ID],tblCases[[#This Row],[案件ID]],tblTasks[表示区分],"期限未設定"))</f>
        <v>0</v>
      </c>
      <c r="AO18" s="61">
        <f>IF(tblCases[[#This Row],[案件ID]]="",0,COUNTIFS(tblTasks[案件ID],tblCases[[#This Row],[案件ID]],tblTasks[未完了],1,tblTasks[区分],"社内確認"))</f>
        <v>0</v>
      </c>
      <c r="AP18" s="61">
        <f>IF(OR(HomeStaff="",HomeStaff="全員",HomeStaff=tblCases[[#This Row],[社内担当]]),1,0)</f>
        <v>1</v>
      </c>
      <c r="AQ18" s="61">
        <f>IF(AND(tblCases[[#This Row],[進行中]]=1,tblCases[[#This Row],[次回期限値]]=0,tblCases[[#This Row],[担当一致]]=1),1,0)</f>
        <v>0</v>
      </c>
      <c r="AR18" s="61">
        <f>INT(N(tblCases[[#This Row],[最新接点値]]))*100000+N(tblCases[[#This Row],[ID番号]])</f>
        <v>0</v>
      </c>
      <c r="AS18" s="61" t="str">
        <f>IF(tblCases[[#This Row],[未設定対象]]=1,COUNTIFS(tblCases[未設定対象],1,tblCases[並びキー],"&lt;"&amp;tblCases[[#This Row],[並びキー]])+1,"")</f>
        <v/>
      </c>
      <c r="AT18" s="61" t="str">
        <f>IFERROR(VALUE(MID(tblCases[[#This Row],[案件ID]],2,20)),"")</f>
        <v/>
      </c>
    </row>
    <row r="19">
      <c r="A19" s="49" t="n"/>
      <c r="B19" s="49" t="n"/>
      <c r="C19" s="50" t="str">
        <f>IF(tblCases[[#This Row],[顧客ID]]="","",IFERROR(INDEX(tblCustomers[会社名],MATCH(tblCases[[#This Row],[顧客ID]],tblCustomers[顧客ID],0))&amp;"","（未登録の顧客ID）"))</f>
        <v/>
      </c>
      <c r="D19" s="51" t="n"/>
      <c r="E19" s="52" t="n"/>
      <c r="F19" s="52" t="n"/>
      <c r="G19" s="52" t="n"/>
      <c r="H1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19" s="53" t="str">
        <f>IF(tblCases[[#This Row],[案件ID]]="","",IF(tblCases[[#This Row],[最新会話値]]=0,"なし",tblCases[[#This Row],[最新会話値]]))</f>
        <v/>
      </c>
      <c r="J19" s="53" t="str">
        <f>IF(tblCases[[#This Row],[案件ID]]="","",IF(tblCases[[#This Row],[最新接点値]]=0,"履歴なし",tblCases[[#This Row],[最新接点値]]))</f>
        <v/>
      </c>
      <c r="K19" s="54" t="str">
        <f>IF(OR(tblCases[[#This Row],[案件ID]]="",tblCases[[#This Row],[最新接点値]]=0),"",RefDate-INT(tblCases[[#This Row],[最新接点値]]))</f>
        <v/>
      </c>
      <c r="L1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19" s="55" t="str">
        <f>IF(tblCases[[#This Row],[次回行]]="","",INDEX(tblTasks[担当者],tblCases[[#This Row],[次回行]])&amp;"")</f>
        <v/>
      </c>
      <c r="N19" s="56" t="str">
        <f>IF(tblCases[[#This Row],[次回行]]="","",tblCases[[#This Row],[次回期限値]])</f>
        <v/>
      </c>
      <c r="O1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19" s="49" t="n"/>
      <c r="Q19" s="57" t="str">
        <f>IF(tblCases[[#This Row],[顧客側担当者ID]]="","",IFERROR(INDEX(tblContacts[氏名],MATCH(tblCases[[#This Row],[顧客側担当者ID]],tblContacts[担当者ID],0))&amp;"","（未登録のID）"))</f>
        <v/>
      </c>
      <c r="R19" s="49" t="n"/>
      <c r="S19" s="58" t="n"/>
      <c r="T19" s="59" t="n"/>
      <c r="U19" s="60" t="n"/>
      <c r="V19" s="60" t="n"/>
      <c r="W19" s="51" t="n"/>
      <c r="X19" s="51" t="n"/>
      <c r="Y19" s="51" t="n"/>
      <c r="Z19" s="51" t="n"/>
      <c r="AA1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19" s="61" t="str">
        <f>IF(tblCases[[#This Row],[営業段階]]="","",IFERROR(INDEX(lst_StageKind,MATCH(tblCases[[#This Row],[営業段階]],lst_Stage,0))&amp;"","候補外"))</f>
        <v/>
      </c>
      <c r="AC19" s="61" t="str">
        <f>IF(tblCases[[#This Row],[追客状態]]="","",IFERROR(INDEX(lst_StatusKind,MATCH(tblCases[[#This Row],[追客状態]],lst_Status,0))&amp;"","候補外"))</f>
        <v/>
      </c>
      <c r="AD1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1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19" s="61">
        <f>IF(AND(tblCases[[#This Row],[案件ID]]&lt;&gt;"",OR(tblCases[[#This Row],[状態区分]]="進行",tblCases[[#This Row],[状態区分]]="待機")),1,0)</f>
        <v>0</v>
      </c>
      <c r="AG19" s="62">
        <f>IF(tblCases[[#This Row],[案件ID]]="",0,_xlfn.MAXIFS(tblHistory[実施日時],tblHistory[案件ID],tblCases[[#This Row],[案件ID]],tblHistory[集計対象],1))</f>
        <v>0.0</v>
      </c>
      <c r="AH19" s="62">
        <f>IF(tblCases[[#This Row],[案件ID]]="",0,_xlfn.MAXIFS(tblHistory[実施日時],tblHistory[案件ID],tblCases[[#This Row],[案件ID]],tblHistory[集計対象],1,tblHistory[実接点],1))</f>
        <v>0.0</v>
      </c>
      <c r="AI19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19" s="61" t="str">
        <f>IF(N(tblCases[[#This Row],[最新ID番号]])=0,"",IFERROR(MATCH(tblCases[[#This Row],[案件ID]]&amp;"|"&amp;tblCases[[#This Row],[最新ID番号]],tblHistory[照合キー],0),""))</f>
        <v/>
      </c>
      <c r="AK19" s="63">
        <f>IF(tblCases[[#This Row],[案件ID]]="",0,_xlfn.MINIFS(tblTasks[期限日],tblTasks[案件ID],tblCases[[#This Row],[案件ID]],tblTasks[次回候補],1))</f>
        <v>0.0</v>
      </c>
      <c r="AL19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19" s="61" t="str">
        <f>IF(N(tblCases[[#This Row],[次回ID番号]])=0,"",IFERROR(MATCH(tblCases[[#This Row],[案件ID]]&amp;"|"&amp;tblCases[[#This Row],[次回ID番号]],tblTasks[照合キー],0),""))</f>
        <v/>
      </c>
      <c r="AN19" s="61">
        <f>IF(tblCases[[#This Row],[案件ID]]="",0,COUNTIFS(tblTasks[案件ID],tblCases[[#This Row],[案件ID]],tblTasks[表示区分],"期限未設定"))</f>
        <v>0</v>
      </c>
      <c r="AO19" s="61">
        <f>IF(tblCases[[#This Row],[案件ID]]="",0,COUNTIFS(tblTasks[案件ID],tblCases[[#This Row],[案件ID]],tblTasks[未完了],1,tblTasks[区分],"社内確認"))</f>
        <v>0</v>
      </c>
      <c r="AP19" s="61">
        <f>IF(OR(HomeStaff="",HomeStaff="全員",HomeStaff=tblCases[[#This Row],[社内担当]]),1,0)</f>
        <v>1</v>
      </c>
      <c r="AQ19" s="61">
        <f>IF(AND(tblCases[[#This Row],[進行中]]=1,tblCases[[#This Row],[次回期限値]]=0,tblCases[[#This Row],[担当一致]]=1),1,0)</f>
        <v>0</v>
      </c>
      <c r="AR19" s="61">
        <f>INT(N(tblCases[[#This Row],[最新接点値]]))*100000+N(tblCases[[#This Row],[ID番号]])</f>
        <v>0</v>
      </c>
      <c r="AS19" s="61" t="str">
        <f>IF(tblCases[[#This Row],[未設定対象]]=1,COUNTIFS(tblCases[未設定対象],1,tblCases[並びキー],"&lt;"&amp;tblCases[[#This Row],[並びキー]])+1,"")</f>
        <v/>
      </c>
      <c r="AT19" s="61" t="str">
        <f>IFERROR(VALUE(MID(tblCases[[#This Row],[案件ID]],2,20)),"")</f>
        <v/>
      </c>
    </row>
    <row r="20">
      <c r="A20" s="49" t="n"/>
      <c r="B20" s="49" t="n"/>
      <c r="C20" s="50" t="str">
        <f>IF(tblCases[[#This Row],[顧客ID]]="","",IFERROR(INDEX(tblCustomers[会社名],MATCH(tblCases[[#This Row],[顧客ID]],tblCustomers[顧客ID],0))&amp;"","（未登録の顧客ID）"))</f>
        <v/>
      </c>
      <c r="D20" s="51" t="n"/>
      <c r="E20" s="52" t="n"/>
      <c r="F20" s="52" t="n"/>
      <c r="G20" s="52" t="n"/>
      <c r="H2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0" s="53" t="str">
        <f>IF(tblCases[[#This Row],[案件ID]]="","",IF(tblCases[[#This Row],[最新会話値]]=0,"なし",tblCases[[#This Row],[最新会話値]]))</f>
        <v/>
      </c>
      <c r="J20" s="53" t="str">
        <f>IF(tblCases[[#This Row],[案件ID]]="","",IF(tblCases[[#This Row],[最新接点値]]=0,"履歴なし",tblCases[[#This Row],[最新接点値]]))</f>
        <v/>
      </c>
      <c r="K20" s="54" t="str">
        <f>IF(OR(tblCases[[#This Row],[案件ID]]="",tblCases[[#This Row],[最新接点値]]=0),"",RefDate-INT(tblCases[[#This Row],[最新接点値]]))</f>
        <v/>
      </c>
      <c r="L2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0" s="55" t="str">
        <f>IF(tblCases[[#This Row],[次回行]]="","",INDEX(tblTasks[担当者],tblCases[[#This Row],[次回行]])&amp;"")</f>
        <v/>
      </c>
      <c r="N20" s="56" t="str">
        <f>IF(tblCases[[#This Row],[次回行]]="","",tblCases[[#This Row],[次回期限値]])</f>
        <v/>
      </c>
      <c r="O2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0" s="49" t="n"/>
      <c r="Q20" s="57" t="str">
        <f>IF(tblCases[[#This Row],[顧客側担当者ID]]="","",IFERROR(INDEX(tblContacts[氏名],MATCH(tblCases[[#This Row],[顧客側担当者ID]],tblContacts[担当者ID],0))&amp;"","（未登録のID）"))</f>
        <v/>
      </c>
      <c r="R20" s="49" t="n"/>
      <c r="S20" s="58" t="n"/>
      <c r="T20" s="59" t="n"/>
      <c r="U20" s="60" t="n"/>
      <c r="V20" s="60" t="n"/>
      <c r="W20" s="51" t="n"/>
      <c r="X20" s="51" t="n"/>
      <c r="Y20" s="51" t="n"/>
      <c r="Z20" s="51" t="n"/>
      <c r="AA2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0" s="61" t="str">
        <f>IF(tblCases[[#This Row],[営業段階]]="","",IFERROR(INDEX(lst_StageKind,MATCH(tblCases[[#This Row],[営業段階]],lst_Stage,0))&amp;"","候補外"))</f>
        <v/>
      </c>
      <c r="AC20" s="61" t="str">
        <f>IF(tblCases[[#This Row],[追客状態]]="","",IFERROR(INDEX(lst_StatusKind,MATCH(tblCases[[#This Row],[追客状態]],lst_Status,0))&amp;"","候補外"))</f>
        <v/>
      </c>
      <c r="AD2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0" s="61">
        <f>IF(AND(tblCases[[#This Row],[案件ID]]&lt;&gt;"",OR(tblCases[[#This Row],[状態区分]]="進行",tblCases[[#This Row],[状態区分]]="待機")),1,0)</f>
        <v>0</v>
      </c>
      <c r="AG20" s="62">
        <f>IF(tblCases[[#This Row],[案件ID]]="",0,_xlfn.MAXIFS(tblHistory[実施日時],tblHistory[案件ID],tblCases[[#This Row],[案件ID]],tblHistory[集計対象],1))</f>
        <v>0.0</v>
      </c>
      <c r="AH20" s="62">
        <f>IF(tblCases[[#This Row],[案件ID]]="",0,_xlfn.MAXIFS(tblHistory[実施日時],tblHistory[案件ID],tblCases[[#This Row],[案件ID]],tblHistory[集計対象],1,tblHistory[実接点],1))</f>
        <v>0.0</v>
      </c>
      <c r="AI20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0" s="61" t="str">
        <f>IF(N(tblCases[[#This Row],[最新ID番号]])=0,"",IFERROR(MATCH(tblCases[[#This Row],[案件ID]]&amp;"|"&amp;tblCases[[#This Row],[最新ID番号]],tblHistory[照合キー],0),""))</f>
        <v/>
      </c>
      <c r="AK20" s="63">
        <f>IF(tblCases[[#This Row],[案件ID]]="",0,_xlfn.MINIFS(tblTasks[期限日],tblTasks[案件ID],tblCases[[#This Row],[案件ID]],tblTasks[次回候補],1))</f>
        <v>0.0</v>
      </c>
      <c r="AL2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0" s="61" t="str">
        <f>IF(N(tblCases[[#This Row],[次回ID番号]])=0,"",IFERROR(MATCH(tblCases[[#This Row],[案件ID]]&amp;"|"&amp;tblCases[[#This Row],[次回ID番号]],tblTasks[照合キー],0),""))</f>
        <v/>
      </c>
      <c r="AN20" s="61">
        <f>IF(tblCases[[#This Row],[案件ID]]="",0,COUNTIFS(tblTasks[案件ID],tblCases[[#This Row],[案件ID]],tblTasks[表示区分],"期限未設定"))</f>
        <v>0</v>
      </c>
      <c r="AO20" s="61">
        <f>IF(tblCases[[#This Row],[案件ID]]="",0,COUNTIFS(tblTasks[案件ID],tblCases[[#This Row],[案件ID]],tblTasks[未完了],1,tblTasks[区分],"社内確認"))</f>
        <v>0</v>
      </c>
      <c r="AP20" s="61">
        <f>IF(OR(HomeStaff="",HomeStaff="全員",HomeStaff=tblCases[[#This Row],[社内担当]]),1,0)</f>
        <v>1</v>
      </c>
      <c r="AQ20" s="61">
        <f>IF(AND(tblCases[[#This Row],[進行中]]=1,tblCases[[#This Row],[次回期限値]]=0,tblCases[[#This Row],[担当一致]]=1),1,0)</f>
        <v>0</v>
      </c>
      <c r="AR20" s="61">
        <f>INT(N(tblCases[[#This Row],[最新接点値]]))*100000+N(tblCases[[#This Row],[ID番号]])</f>
        <v>0</v>
      </c>
      <c r="AS20" s="61" t="str">
        <f>IF(tblCases[[#This Row],[未設定対象]]=1,COUNTIFS(tblCases[未設定対象],1,tblCases[並びキー],"&lt;"&amp;tblCases[[#This Row],[並びキー]])+1,"")</f>
        <v/>
      </c>
      <c r="AT20" s="61" t="str">
        <f>IFERROR(VALUE(MID(tblCases[[#This Row],[案件ID]],2,20)),"")</f>
        <v/>
      </c>
    </row>
    <row r="21">
      <c r="A21" s="49" t="n"/>
      <c r="B21" s="49" t="n"/>
      <c r="C21" s="50" t="str">
        <f>IF(tblCases[[#This Row],[顧客ID]]="","",IFERROR(INDEX(tblCustomers[会社名],MATCH(tblCases[[#This Row],[顧客ID]],tblCustomers[顧客ID],0))&amp;"","（未登録の顧客ID）"))</f>
        <v/>
      </c>
      <c r="D21" s="51" t="n"/>
      <c r="E21" s="52" t="n"/>
      <c r="F21" s="52" t="n"/>
      <c r="G21" s="52" t="n"/>
      <c r="H2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1" s="53" t="str">
        <f>IF(tblCases[[#This Row],[案件ID]]="","",IF(tblCases[[#This Row],[最新会話値]]=0,"なし",tblCases[[#This Row],[最新会話値]]))</f>
        <v/>
      </c>
      <c r="J21" s="53" t="str">
        <f>IF(tblCases[[#This Row],[案件ID]]="","",IF(tblCases[[#This Row],[最新接点値]]=0,"履歴なし",tblCases[[#This Row],[最新接点値]]))</f>
        <v/>
      </c>
      <c r="K21" s="54" t="str">
        <f>IF(OR(tblCases[[#This Row],[案件ID]]="",tblCases[[#This Row],[最新接点値]]=0),"",RefDate-INT(tblCases[[#This Row],[最新接点値]]))</f>
        <v/>
      </c>
      <c r="L2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1" s="55" t="str">
        <f>IF(tblCases[[#This Row],[次回行]]="","",INDEX(tblTasks[担当者],tblCases[[#This Row],[次回行]])&amp;"")</f>
        <v/>
      </c>
      <c r="N21" s="56" t="str">
        <f>IF(tblCases[[#This Row],[次回行]]="","",tblCases[[#This Row],[次回期限値]])</f>
        <v/>
      </c>
      <c r="O2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1" s="49" t="n"/>
      <c r="Q21" s="57" t="str">
        <f>IF(tblCases[[#This Row],[顧客側担当者ID]]="","",IFERROR(INDEX(tblContacts[氏名],MATCH(tblCases[[#This Row],[顧客側担当者ID]],tblContacts[担当者ID],0))&amp;"","（未登録のID）"))</f>
        <v/>
      </c>
      <c r="R21" s="49" t="n"/>
      <c r="S21" s="58" t="n"/>
      <c r="T21" s="59" t="n"/>
      <c r="U21" s="60" t="n"/>
      <c r="V21" s="60" t="n"/>
      <c r="W21" s="51" t="n"/>
      <c r="X21" s="51" t="n"/>
      <c r="Y21" s="51" t="n"/>
      <c r="Z21" s="51" t="n"/>
      <c r="AA2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1" s="61" t="str">
        <f>IF(tblCases[[#This Row],[営業段階]]="","",IFERROR(INDEX(lst_StageKind,MATCH(tblCases[[#This Row],[営業段階]],lst_Stage,0))&amp;"","候補外"))</f>
        <v/>
      </c>
      <c r="AC21" s="61" t="str">
        <f>IF(tblCases[[#This Row],[追客状態]]="","",IFERROR(INDEX(lst_StatusKind,MATCH(tblCases[[#This Row],[追客状態]],lst_Status,0))&amp;"","候補外"))</f>
        <v/>
      </c>
      <c r="AD2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1" s="61">
        <f>IF(AND(tblCases[[#This Row],[案件ID]]&lt;&gt;"",OR(tblCases[[#This Row],[状態区分]]="進行",tblCases[[#This Row],[状態区分]]="待機")),1,0)</f>
        <v>0</v>
      </c>
      <c r="AG21" s="62">
        <f>IF(tblCases[[#This Row],[案件ID]]="",0,_xlfn.MAXIFS(tblHistory[実施日時],tblHistory[案件ID],tblCases[[#This Row],[案件ID]],tblHistory[集計対象],1))</f>
        <v>0.0</v>
      </c>
      <c r="AH21" s="62">
        <f>IF(tblCases[[#This Row],[案件ID]]="",0,_xlfn.MAXIFS(tblHistory[実施日時],tblHistory[案件ID],tblCases[[#This Row],[案件ID]],tblHistory[集計対象],1,tblHistory[実接点],1))</f>
        <v>0.0</v>
      </c>
      <c r="AI21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1" s="61" t="str">
        <f>IF(N(tblCases[[#This Row],[最新ID番号]])=0,"",IFERROR(MATCH(tblCases[[#This Row],[案件ID]]&amp;"|"&amp;tblCases[[#This Row],[最新ID番号]],tblHistory[照合キー],0),""))</f>
        <v/>
      </c>
      <c r="AK21" s="63">
        <f>IF(tblCases[[#This Row],[案件ID]]="",0,_xlfn.MINIFS(tblTasks[期限日],tblTasks[案件ID],tblCases[[#This Row],[案件ID]],tblTasks[次回候補],1))</f>
        <v>0.0</v>
      </c>
      <c r="AL2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1" s="61" t="str">
        <f>IF(N(tblCases[[#This Row],[次回ID番号]])=0,"",IFERROR(MATCH(tblCases[[#This Row],[案件ID]]&amp;"|"&amp;tblCases[[#This Row],[次回ID番号]],tblTasks[照合キー],0),""))</f>
        <v/>
      </c>
      <c r="AN21" s="61">
        <f>IF(tblCases[[#This Row],[案件ID]]="",0,COUNTIFS(tblTasks[案件ID],tblCases[[#This Row],[案件ID]],tblTasks[表示区分],"期限未設定"))</f>
        <v>0</v>
      </c>
      <c r="AO21" s="61">
        <f>IF(tblCases[[#This Row],[案件ID]]="",0,COUNTIFS(tblTasks[案件ID],tblCases[[#This Row],[案件ID]],tblTasks[未完了],1,tblTasks[区分],"社内確認"))</f>
        <v>0</v>
      </c>
      <c r="AP21" s="61">
        <f>IF(OR(HomeStaff="",HomeStaff="全員",HomeStaff=tblCases[[#This Row],[社内担当]]),1,0)</f>
        <v>1</v>
      </c>
      <c r="AQ21" s="61">
        <f>IF(AND(tblCases[[#This Row],[進行中]]=1,tblCases[[#This Row],[次回期限値]]=0,tblCases[[#This Row],[担当一致]]=1),1,0)</f>
        <v>0</v>
      </c>
      <c r="AR21" s="61">
        <f>INT(N(tblCases[[#This Row],[最新接点値]]))*100000+N(tblCases[[#This Row],[ID番号]])</f>
        <v>0</v>
      </c>
      <c r="AS21" s="61" t="str">
        <f>IF(tblCases[[#This Row],[未設定対象]]=1,COUNTIFS(tblCases[未設定対象],1,tblCases[並びキー],"&lt;"&amp;tblCases[[#This Row],[並びキー]])+1,"")</f>
        <v/>
      </c>
      <c r="AT21" s="61" t="str">
        <f>IFERROR(VALUE(MID(tblCases[[#This Row],[案件ID]],2,20)),"")</f>
        <v/>
      </c>
    </row>
    <row r="22">
      <c r="A22" s="49" t="n"/>
      <c r="B22" s="49" t="n"/>
      <c r="C22" s="50" t="str">
        <f>IF(tblCases[[#This Row],[顧客ID]]="","",IFERROR(INDEX(tblCustomers[会社名],MATCH(tblCases[[#This Row],[顧客ID]],tblCustomers[顧客ID],0))&amp;"","（未登録の顧客ID）"))</f>
        <v/>
      </c>
      <c r="D22" s="51" t="n"/>
      <c r="E22" s="52" t="n"/>
      <c r="F22" s="52" t="n"/>
      <c r="G22" s="52" t="n"/>
      <c r="H2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2" s="53" t="str">
        <f>IF(tblCases[[#This Row],[案件ID]]="","",IF(tblCases[[#This Row],[最新会話値]]=0,"なし",tblCases[[#This Row],[最新会話値]]))</f>
        <v/>
      </c>
      <c r="J22" s="53" t="str">
        <f>IF(tblCases[[#This Row],[案件ID]]="","",IF(tblCases[[#This Row],[最新接点値]]=0,"履歴なし",tblCases[[#This Row],[最新接点値]]))</f>
        <v/>
      </c>
      <c r="K22" s="54" t="str">
        <f>IF(OR(tblCases[[#This Row],[案件ID]]="",tblCases[[#This Row],[最新接点値]]=0),"",RefDate-INT(tblCases[[#This Row],[最新接点値]]))</f>
        <v/>
      </c>
      <c r="L2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2" s="55" t="str">
        <f>IF(tblCases[[#This Row],[次回行]]="","",INDEX(tblTasks[担当者],tblCases[[#This Row],[次回行]])&amp;"")</f>
        <v/>
      </c>
      <c r="N22" s="56" t="str">
        <f>IF(tblCases[[#This Row],[次回行]]="","",tblCases[[#This Row],[次回期限値]])</f>
        <v/>
      </c>
      <c r="O2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2" s="49" t="n"/>
      <c r="Q22" s="57" t="str">
        <f>IF(tblCases[[#This Row],[顧客側担当者ID]]="","",IFERROR(INDEX(tblContacts[氏名],MATCH(tblCases[[#This Row],[顧客側担当者ID]],tblContacts[担当者ID],0))&amp;"","（未登録のID）"))</f>
        <v/>
      </c>
      <c r="R22" s="49" t="n"/>
      <c r="S22" s="58" t="n"/>
      <c r="T22" s="59" t="n"/>
      <c r="U22" s="60" t="n"/>
      <c r="V22" s="60" t="n"/>
      <c r="W22" s="51" t="n"/>
      <c r="X22" s="51" t="n"/>
      <c r="Y22" s="51" t="n"/>
      <c r="Z22" s="51" t="n"/>
      <c r="AA2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2" s="61" t="str">
        <f>IF(tblCases[[#This Row],[営業段階]]="","",IFERROR(INDEX(lst_StageKind,MATCH(tblCases[[#This Row],[営業段階]],lst_Stage,0))&amp;"","候補外"))</f>
        <v/>
      </c>
      <c r="AC22" s="61" t="str">
        <f>IF(tblCases[[#This Row],[追客状態]]="","",IFERROR(INDEX(lst_StatusKind,MATCH(tblCases[[#This Row],[追客状態]],lst_Status,0))&amp;"","候補外"))</f>
        <v/>
      </c>
      <c r="AD2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2" s="61">
        <f>IF(AND(tblCases[[#This Row],[案件ID]]&lt;&gt;"",OR(tblCases[[#This Row],[状態区分]]="進行",tblCases[[#This Row],[状態区分]]="待機")),1,0)</f>
        <v>0</v>
      </c>
      <c r="AG22" s="62">
        <f>IF(tblCases[[#This Row],[案件ID]]="",0,_xlfn.MAXIFS(tblHistory[実施日時],tblHistory[案件ID],tblCases[[#This Row],[案件ID]],tblHistory[集計対象],1))</f>
        <v>0.0</v>
      </c>
      <c r="AH22" s="62">
        <f>IF(tblCases[[#This Row],[案件ID]]="",0,_xlfn.MAXIFS(tblHistory[実施日時],tblHistory[案件ID],tblCases[[#This Row],[案件ID]],tblHistory[集計対象],1,tblHistory[実接点],1))</f>
        <v>0.0</v>
      </c>
      <c r="AI2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2" s="61" t="str">
        <f>IF(N(tblCases[[#This Row],[最新ID番号]])=0,"",IFERROR(MATCH(tblCases[[#This Row],[案件ID]]&amp;"|"&amp;tblCases[[#This Row],[最新ID番号]],tblHistory[照合キー],0),""))</f>
        <v/>
      </c>
      <c r="AK22" s="63">
        <f>IF(tblCases[[#This Row],[案件ID]]="",0,_xlfn.MINIFS(tblTasks[期限日],tblTasks[案件ID],tblCases[[#This Row],[案件ID]],tblTasks[次回候補],1))</f>
        <v>0.0</v>
      </c>
      <c r="AL2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2" s="61" t="str">
        <f>IF(N(tblCases[[#This Row],[次回ID番号]])=0,"",IFERROR(MATCH(tblCases[[#This Row],[案件ID]]&amp;"|"&amp;tblCases[[#This Row],[次回ID番号]],tblTasks[照合キー],0),""))</f>
        <v/>
      </c>
      <c r="AN22" s="61">
        <f>IF(tblCases[[#This Row],[案件ID]]="",0,COUNTIFS(tblTasks[案件ID],tblCases[[#This Row],[案件ID]],tblTasks[表示区分],"期限未設定"))</f>
        <v>0</v>
      </c>
      <c r="AO22" s="61">
        <f>IF(tblCases[[#This Row],[案件ID]]="",0,COUNTIFS(tblTasks[案件ID],tblCases[[#This Row],[案件ID]],tblTasks[未完了],1,tblTasks[区分],"社内確認"))</f>
        <v>0</v>
      </c>
      <c r="AP22" s="61">
        <f>IF(OR(HomeStaff="",HomeStaff="全員",HomeStaff=tblCases[[#This Row],[社内担当]]),1,0)</f>
        <v>1</v>
      </c>
      <c r="AQ22" s="61">
        <f>IF(AND(tblCases[[#This Row],[進行中]]=1,tblCases[[#This Row],[次回期限値]]=0,tblCases[[#This Row],[担当一致]]=1),1,0)</f>
        <v>0</v>
      </c>
      <c r="AR22" s="61">
        <f>INT(N(tblCases[[#This Row],[最新接点値]]))*100000+N(tblCases[[#This Row],[ID番号]])</f>
        <v>0</v>
      </c>
      <c r="AS22" s="61" t="str">
        <f>IF(tblCases[[#This Row],[未設定対象]]=1,COUNTIFS(tblCases[未設定対象],1,tblCases[並びキー],"&lt;"&amp;tblCases[[#This Row],[並びキー]])+1,"")</f>
        <v/>
      </c>
      <c r="AT22" s="61" t="str">
        <f>IFERROR(VALUE(MID(tblCases[[#This Row],[案件ID]],2,20)),"")</f>
        <v/>
      </c>
    </row>
    <row r="23">
      <c r="A23" s="49" t="n"/>
      <c r="B23" s="49" t="n"/>
      <c r="C23" s="50" t="str">
        <f>IF(tblCases[[#This Row],[顧客ID]]="","",IFERROR(INDEX(tblCustomers[会社名],MATCH(tblCases[[#This Row],[顧客ID]],tblCustomers[顧客ID],0))&amp;"","（未登録の顧客ID）"))</f>
        <v/>
      </c>
      <c r="D23" s="51" t="n"/>
      <c r="E23" s="52" t="n"/>
      <c r="F23" s="52" t="n"/>
      <c r="G23" s="52" t="n"/>
      <c r="H2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3" s="53" t="str">
        <f>IF(tblCases[[#This Row],[案件ID]]="","",IF(tblCases[[#This Row],[最新会話値]]=0,"なし",tblCases[[#This Row],[最新会話値]]))</f>
        <v/>
      </c>
      <c r="J23" s="53" t="str">
        <f>IF(tblCases[[#This Row],[案件ID]]="","",IF(tblCases[[#This Row],[最新接点値]]=0,"履歴なし",tblCases[[#This Row],[最新接点値]]))</f>
        <v/>
      </c>
      <c r="K23" s="54" t="str">
        <f>IF(OR(tblCases[[#This Row],[案件ID]]="",tblCases[[#This Row],[最新接点値]]=0),"",RefDate-INT(tblCases[[#This Row],[最新接点値]]))</f>
        <v/>
      </c>
      <c r="L2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3" s="55" t="str">
        <f>IF(tblCases[[#This Row],[次回行]]="","",INDEX(tblTasks[担当者],tblCases[[#This Row],[次回行]])&amp;"")</f>
        <v/>
      </c>
      <c r="N23" s="56" t="str">
        <f>IF(tblCases[[#This Row],[次回行]]="","",tblCases[[#This Row],[次回期限値]])</f>
        <v/>
      </c>
      <c r="O2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3" s="49" t="n"/>
      <c r="Q23" s="57" t="str">
        <f>IF(tblCases[[#This Row],[顧客側担当者ID]]="","",IFERROR(INDEX(tblContacts[氏名],MATCH(tblCases[[#This Row],[顧客側担当者ID]],tblContacts[担当者ID],0))&amp;"","（未登録のID）"))</f>
        <v/>
      </c>
      <c r="R23" s="49" t="n"/>
      <c r="S23" s="58" t="n"/>
      <c r="T23" s="59" t="n"/>
      <c r="U23" s="60" t="n"/>
      <c r="V23" s="60" t="n"/>
      <c r="W23" s="51" t="n"/>
      <c r="X23" s="51" t="n"/>
      <c r="Y23" s="51" t="n"/>
      <c r="Z23" s="51" t="n"/>
      <c r="AA2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3" s="61" t="str">
        <f>IF(tblCases[[#This Row],[営業段階]]="","",IFERROR(INDEX(lst_StageKind,MATCH(tblCases[[#This Row],[営業段階]],lst_Stage,0))&amp;"","候補外"))</f>
        <v/>
      </c>
      <c r="AC23" s="61" t="str">
        <f>IF(tblCases[[#This Row],[追客状態]]="","",IFERROR(INDEX(lst_StatusKind,MATCH(tblCases[[#This Row],[追客状態]],lst_Status,0))&amp;"","候補外"))</f>
        <v/>
      </c>
      <c r="AD2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3" s="61">
        <f>IF(AND(tblCases[[#This Row],[案件ID]]&lt;&gt;"",OR(tblCases[[#This Row],[状態区分]]="進行",tblCases[[#This Row],[状態区分]]="待機")),1,0)</f>
        <v>0</v>
      </c>
      <c r="AG23" s="62">
        <f>IF(tblCases[[#This Row],[案件ID]]="",0,_xlfn.MAXIFS(tblHistory[実施日時],tblHistory[案件ID],tblCases[[#This Row],[案件ID]],tblHistory[集計対象],1))</f>
        <v>0.0</v>
      </c>
      <c r="AH23" s="62">
        <f>IF(tblCases[[#This Row],[案件ID]]="",0,_xlfn.MAXIFS(tblHistory[実施日時],tblHistory[案件ID],tblCases[[#This Row],[案件ID]],tblHistory[集計対象],1,tblHistory[実接点],1))</f>
        <v>0.0</v>
      </c>
      <c r="AI23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3" s="61" t="str">
        <f>IF(N(tblCases[[#This Row],[最新ID番号]])=0,"",IFERROR(MATCH(tblCases[[#This Row],[案件ID]]&amp;"|"&amp;tblCases[[#This Row],[最新ID番号]],tblHistory[照合キー],0),""))</f>
        <v/>
      </c>
      <c r="AK23" s="63">
        <f>IF(tblCases[[#This Row],[案件ID]]="",0,_xlfn.MINIFS(tblTasks[期限日],tblTasks[案件ID],tblCases[[#This Row],[案件ID]],tblTasks[次回候補],1))</f>
        <v>0.0</v>
      </c>
      <c r="AL2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3" s="61" t="str">
        <f>IF(N(tblCases[[#This Row],[次回ID番号]])=0,"",IFERROR(MATCH(tblCases[[#This Row],[案件ID]]&amp;"|"&amp;tblCases[[#This Row],[次回ID番号]],tblTasks[照合キー],0),""))</f>
        <v/>
      </c>
      <c r="AN23" s="61">
        <f>IF(tblCases[[#This Row],[案件ID]]="",0,COUNTIFS(tblTasks[案件ID],tblCases[[#This Row],[案件ID]],tblTasks[表示区分],"期限未設定"))</f>
        <v>0</v>
      </c>
      <c r="AO23" s="61">
        <f>IF(tblCases[[#This Row],[案件ID]]="",0,COUNTIFS(tblTasks[案件ID],tblCases[[#This Row],[案件ID]],tblTasks[未完了],1,tblTasks[区分],"社内確認"))</f>
        <v>0</v>
      </c>
      <c r="AP23" s="61">
        <f>IF(OR(HomeStaff="",HomeStaff="全員",HomeStaff=tblCases[[#This Row],[社内担当]]),1,0)</f>
        <v>1</v>
      </c>
      <c r="AQ23" s="61">
        <f>IF(AND(tblCases[[#This Row],[進行中]]=1,tblCases[[#This Row],[次回期限値]]=0,tblCases[[#This Row],[担当一致]]=1),1,0)</f>
        <v>0</v>
      </c>
      <c r="AR23" s="61">
        <f>INT(N(tblCases[[#This Row],[最新接点値]]))*100000+N(tblCases[[#This Row],[ID番号]])</f>
        <v>0</v>
      </c>
      <c r="AS23" s="61" t="str">
        <f>IF(tblCases[[#This Row],[未設定対象]]=1,COUNTIFS(tblCases[未設定対象],1,tblCases[並びキー],"&lt;"&amp;tblCases[[#This Row],[並びキー]])+1,"")</f>
        <v/>
      </c>
      <c r="AT23" s="61" t="str">
        <f>IFERROR(VALUE(MID(tblCases[[#This Row],[案件ID]],2,20)),"")</f>
        <v/>
      </c>
    </row>
    <row r="24">
      <c r="A24" s="49" t="n"/>
      <c r="B24" s="49" t="n"/>
      <c r="C24" s="50" t="str">
        <f>IF(tblCases[[#This Row],[顧客ID]]="","",IFERROR(INDEX(tblCustomers[会社名],MATCH(tblCases[[#This Row],[顧客ID]],tblCustomers[顧客ID],0))&amp;"","（未登録の顧客ID）"))</f>
        <v/>
      </c>
      <c r="D24" s="51" t="n"/>
      <c r="E24" s="52" t="n"/>
      <c r="F24" s="52" t="n"/>
      <c r="G24" s="52" t="n"/>
      <c r="H2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4" s="53" t="str">
        <f>IF(tblCases[[#This Row],[案件ID]]="","",IF(tblCases[[#This Row],[最新会話値]]=0,"なし",tblCases[[#This Row],[最新会話値]]))</f>
        <v/>
      </c>
      <c r="J24" s="53" t="str">
        <f>IF(tblCases[[#This Row],[案件ID]]="","",IF(tblCases[[#This Row],[最新接点値]]=0,"履歴なし",tblCases[[#This Row],[最新接点値]]))</f>
        <v/>
      </c>
      <c r="K24" s="54" t="str">
        <f>IF(OR(tblCases[[#This Row],[案件ID]]="",tblCases[[#This Row],[最新接点値]]=0),"",RefDate-INT(tblCases[[#This Row],[最新接点値]]))</f>
        <v/>
      </c>
      <c r="L2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4" s="55" t="str">
        <f>IF(tblCases[[#This Row],[次回行]]="","",INDEX(tblTasks[担当者],tblCases[[#This Row],[次回行]])&amp;"")</f>
        <v/>
      </c>
      <c r="N24" s="56" t="str">
        <f>IF(tblCases[[#This Row],[次回行]]="","",tblCases[[#This Row],[次回期限値]])</f>
        <v/>
      </c>
      <c r="O2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4" s="49" t="n"/>
      <c r="Q24" s="57" t="str">
        <f>IF(tblCases[[#This Row],[顧客側担当者ID]]="","",IFERROR(INDEX(tblContacts[氏名],MATCH(tblCases[[#This Row],[顧客側担当者ID]],tblContacts[担当者ID],0))&amp;"","（未登録のID）"))</f>
        <v/>
      </c>
      <c r="R24" s="49" t="n"/>
      <c r="S24" s="58" t="n"/>
      <c r="T24" s="59" t="n"/>
      <c r="U24" s="60" t="n"/>
      <c r="V24" s="60" t="n"/>
      <c r="W24" s="51" t="n"/>
      <c r="X24" s="51" t="n"/>
      <c r="Y24" s="51" t="n"/>
      <c r="Z24" s="51" t="n"/>
      <c r="AA2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4" s="61" t="str">
        <f>IF(tblCases[[#This Row],[営業段階]]="","",IFERROR(INDEX(lst_StageKind,MATCH(tblCases[[#This Row],[営業段階]],lst_Stage,0))&amp;"","候補外"))</f>
        <v/>
      </c>
      <c r="AC24" s="61" t="str">
        <f>IF(tblCases[[#This Row],[追客状態]]="","",IFERROR(INDEX(lst_StatusKind,MATCH(tblCases[[#This Row],[追客状態]],lst_Status,0))&amp;"","候補外"))</f>
        <v/>
      </c>
      <c r="AD2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4" s="61">
        <f>IF(AND(tblCases[[#This Row],[案件ID]]&lt;&gt;"",OR(tblCases[[#This Row],[状態区分]]="進行",tblCases[[#This Row],[状態区分]]="待機")),1,0)</f>
        <v>0</v>
      </c>
      <c r="AG24" s="62">
        <f>IF(tblCases[[#This Row],[案件ID]]="",0,_xlfn.MAXIFS(tblHistory[実施日時],tblHistory[案件ID],tblCases[[#This Row],[案件ID]],tblHistory[集計対象],1))</f>
        <v>0.0</v>
      </c>
      <c r="AH24" s="62">
        <f>IF(tblCases[[#This Row],[案件ID]]="",0,_xlfn.MAXIFS(tblHistory[実施日時],tblHistory[案件ID],tblCases[[#This Row],[案件ID]],tblHistory[集計対象],1,tblHistory[実接点],1))</f>
        <v>0.0</v>
      </c>
      <c r="AI24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4" s="61" t="str">
        <f>IF(N(tblCases[[#This Row],[最新ID番号]])=0,"",IFERROR(MATCH(tblCases[[#This Row],[案件ID]]&amp;"|"&amp;tblCases[[#This Row],[最新ID番号]],tblHistory[照合キー],0),""))</f>
        <v/>
      </c>
      <c r="AK24" s="63">
        <f>IF(tblCases[[#This Row],[案件ID]]="",0,_xlfn.MINIFS(tblTasks[期限日],tblTasks[案件ID],tblCases[[#This Row],[案件ID]],tblTasks[次回候補],1))</f>
        <v>0.0</v>
      </c>
      <c r="AL24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4" s="61" t="str">
        <f>IF(N(tblCases[[#This Row],[次回ID番号]])=0,"",IFERROR(MATCH(tblCases[[#This Row],[案件ID]]&amp;"|"&amp;tblCases[[#This Row],[次回ID番号]],tblTasks[照合キー],0),""))</f>
        <v/>
      </c>
      <c r="AN24" s="61">
        <f>IF(tblCases[[#This Row],[案件ID]]="",0,COUNTIFS(tblTasks[案件ID],tblCases[[#This Row],[案件ID]],tblTasks[表示区分],"期限未設定"))</f>
        <v>0</v>
      </c>
      <c r="AO24" s="61">
        <f>IF(tblCases[[#This Row],[案件ID]]="",0,COUNTIFS(tblTasks[案件ID],tblCases[[#This Row],[案件ID]],tblTasks[未完了],1,tblTasks[区分],"社内確認"))</f>
        <v>0</v>
      </c>
      <c r="AP24" s="61">
        <f>IF(OR(HomeStaff="",HomeStaff="全員",HomeStaff=tblCases[[#This Row],[社内担当]]),1,0)</f>
        <v>1</v>
      </c>
      <c r="AQ24" s="61">
        <f>IF(AND(tblCases[[#This Row],[進行中]]=1,tblCases[[#This Row],[次回期限値]]=0,tblCases[[#This Row],[担当一致]]=1),1,0)</f>
        <v>0</v>
      </c>
      <c r="AR24" s="61">
        <f>INT(N(tblCases[[#This Row],[最新接点値]]))*100000+N(tblCases[[#This Row],[ID番号]])</f>
        <v>0</v>
      </c>
      <c r="AS24" s="61" t="str">
        <f>IF(tblCases[[#This Row],[未設定対象]]=1,COUNTIFS(tblCases[未設定対象],1,tblCases[並びキー],"&lt;"&amp;tblCases[[#This Row],[並びキー]])+1,"")</f>
        <v/>
      </c>
      <c r="AT24" s="61" t="str">
        <f>IFERROR(VALUE(MID(tblCases[[#This Row],[案件ID]],2,20)),"")</f>
        <v/>
      </c>
    </row>
    <row r="25">
      <c r="A25" s="49" t="n"/>
      <c r="B25" s="49" t="n"/>
      <c r="C25" s="50" t="str">
        <f>IF(tblCases[[#This Row],[顧客ID]]="","",IFERROR(INDEX(tblCustomers[会社名],MATCH(tblCases[[#This Row],[顧客ID]],tblCustomers[顧客ID],0))&amp;"","（未登録の顧客ID）"))</f>
        <v/>
      </c>
      <c r="D25" s="51" t="n"/>
      <c r="E25" s="52" t="n"/>
      <c r="F25" s="52" t="n"/>
      <c r="G25" s="52" t="n"/>
      <c r="H2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5" s="53" t="str">
        <f>IF(tblCases[[#This Row],[案件ID]]="","",IF(tblCases[[#This Row],[最新会話値]]=0,"なし",tblCases[[#This Row],[最新会話値]]))</f>
        <v/>
      </c>
      <c r="J25" s="53" t="str">
        <f>IF(tblCases[[#This Row],[案件ID]]="","",IF(tblCases[[#This Row],[最新接点値]]=0,"履歴なし",tblCases[[#This Row],[最新接点値]]))</f>
        <v/>
      </c>
      <c r="K25" s="54" t="str">
        <f>IF(OR(tblCases[[#This Row],[案件ID]]="",tblCases[[#This Row],[最新接点値]]=0),"",RefDate-INT(tblCases[[#This Row],[最新接点値]]))</f>
        <v/>
      </c>
      <c r="L2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5" s="55" t="str">
        <f>IF(tblCases[[#This Row],[次回行]]="","",INDEX(tblTasks[担当者],tblCases[[#This Row],[次回行]])&amp;"")</f>
        <v/>
      </c>
      <c r="N25" s="56" t="str">
        <f>IF(tblCases[[#This Row],[次回行]]="","",tblCases[[#This Row],[次回期限値]])</f>
        <v/>
      </c>
      <c r="O2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5" s="49" t="n"/>
      <c r="Q25" s="57" t="str">
        <f>IF(tblCases[[#This Row],[顧客側担当者ID]]="","",IFERROR(INDEX(tblContacts[氏名],MATCH(tblCases[[#This Row],[顧客側担当者ID]],tblContacts[担当者ID],0))&amp;"","（未登録のID）"))</f>
        <v/>
      </c>
      <c r="R25" s="49" t="n"/>
      <c r="S25" s="58" t="n"/>
      <c r="T25" s="59" t="n"/>
      <c r="U25" s="60" t="n"/>
      <c r="V25" s="60" t="n"/>
      <c r="W25" s="51" t="n"/>
      <c r="X25" s="51" t="n"/>
      <c r="Y25" s="51" t="n"/>
      <c r="Z25" s="51" t="n"/>
      <c r="AA2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5" s="61" t="str">
        <f>IF(tblCases[[#This Row],[営業段階]]="","",IFERROR(INDEX(lst_StageKind,MATCH(tblCases[[#This Row],[営業段階]],lst_Stage,0))&amp;"","候補外"))</f>
        <v/>
      </c>
      <c r="AC25" s="61" t="str">
        <f>IF(tblCases[[#This Row],[追客状態]]="","",IFERROR(INDEX(lst_StatusKind,MATCH(tblCases[[#This Row],[追客状態]],lst_Status,0))&amp;"","候補外"))</f>
        <v/>
      </c>
      <c r="AD2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5" s="61">
        <f>IF(AND(tblCases[[#This Row],[案件ID]]&lt;&gt;"",OR(tblCases[[#This Row],[状態区分]]="進行",tblCases[[#This Row],[状態区分]]="待機")),1,0)</f>
        <v>0</v>
      </c>
      <c r="AG25" s="62">
        <f>IF(tblCases[[#This Row],[案件ID]]="",0,_xlfn.MAXIFS(tblHistory[実施日時],tblHistory[案件ID],tblCases[[#This Row],[案件ID]],tblHistory[集計対象],1))</f>
        <v>0.0</v>
      </c>
      <c r="AH25" s="62">
        <f>IF(tblCases[[#This Row],[案件ID]]="",0,_xlfn.MAXIFS(tblHistory[実施日時],tblHistory[案件ID],tblCases[[#This Row],[案件ID]],tblHistory[集計対象],1,tblHistory[実接点],1))</f>
        <v>0.0</v>
      </c>
      <c r="AI25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5" s="61" t="str">
        <f>IF(N(tblCases[[#This Row],[最新ID番号]])=0,"",IFERROR(MATCH(tblCases[[#This Row],[案件ID]]&amp;"|"&amp;tblCases[[#This Row],[最新ID番号]],tblHistory[照合キー],0),""))</f>
        <v/>
      </c>
      <c r="AK25" s="63">
        <f>IF(tblCases[[#This Row],[案件ID]]="",0,_xlfn.MINIFS(tblTasks[期限日],tblTasks[案件ID],tblCases[[#This Row],[案件ID]],tblTasks[次回候補],1))</f>
        <v>0.0</v>
      </c>
      <c r="AL25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5" s="61" t="str">
        <f>IF(N(tblCases[[#This Row],[次回ID番号]])=0,"",IFERROR(MATCH(tblCases[[#This Row],[案件ID]]&amp;"|"&amp;tblCases[[#This Row],[次回ID番号]],tblTasks[照合キー],0),""))</f>
        <v/>
      </c>
      <c r="AN25" s="61">
        <f>IF(tblCases[[#This Row],[案件ID]]="",0,COUNTIFS(tblTasks[案件ID],tblCases[[#This Row],[案件ID]],tblTasks[表示区分],"期限未設定"))</f>
        <v>0</v>
      </c>
      <c r="AO25" s="61">
        <f>IF(tblCases[[#This Row],[案件ID]]="",0,COUNTIFS(tblTasks[案件ID],tblCases[[#This Row],[案件ID]],tblTasks[未完了],1,tblTasks[区分],"社内確認"))</f>
        <v>0</v>
      </c>
      <c r="AP25" s="61">
        <f>IF(OR(HomeStaff="",HomeStaff="全員",HomeStaff=tblCases[[#This Row],[社内担当]]),1,0)</f>
        <v>1</v>
      </c>
      <c r="AQ25" s="61">
        <f>IF(AND(tblCases[[#This Row],[進行中]]=1,tblCases[[#This Row],[次回期限値]]=0,tblCases[[#This Row],[担当一致]]=1),1,0)</f>
        <v>0</v>
      </c>
      <c r="AR25" s="61">
        <f>INT(N(tblCases[[#This Row],[最新接点値]]))*100000+N(tblCases[[#This Row],[ID番号]])</f>
        <v>0</v>
      </c>
      <c r="AS25" s="61" t="str">
        <f>IF(tblCases[[#This Row],[未設定対象]]=1,COUNTIFS(tblCases[未設定対象],1,tblCases[並びキー],"&lt;"&amp;tblCases[[#This Row],[並びキー]])+1,"")</f>
        <v/>
      </c>
      <c r="AT25" s="61" t="str">
        <f>IFERROR(VALUE(MID(tblCases[[#This Row],[案件ID]],2,20)),"")</f>
        <v/>
      </c>
    </row>
    <row r="26">
      <c r="A26" s="49" t="n"/>
      <c r="B26" s="49" t="n"/>
      <c r="C26" s="50" t="str">
        <f>IF(tblCases[[#This Row],[顧客ID]]="","",IFERROR(INDEX(tblCustomers[会社名],MATCH(tblCases[[#This Row],[顧客ID]],tblCustomers[顧客ID],0))&amp;"","（未登録の顧客ID）"))</f>
        <v/>
      </c>
      <c r="D26" s="51" t="n"/>
      <c r="E26" s="52" t="n"/>
      <c r="F26" s="52" t="n"/>
      <c r="G26" s="52" t="n"/>
      <c r="H2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6" s="53" t="str">
        <f>IF(tblCases[[#This Row],[案件ID]]="","",IF(tblCases[[#This Row],[最新会話値]]=0,"なし",tblCases[[#This Row],[最新会話値]]))</f>
        <v/>
      </c>
      <c r="J26" s="53" t="str">
        <f>IF(tblCases[[#This Row],[案件ID]]="","",IF(tblCases[[#This Row],[最新接点値]]=0,"履歴なし",tblCases[[#This Row],[最新接点値]]))</f>
        <v/>
      </c>
      <c r="K26" s="54" t="str">
        <f>IF(OR(tblCases[[#This Row],[案件ID]]="",tblCases[[#This Row],[最新接点値]]=0),"",RefDate-INT(tblCases[[#This Row],[最新接点値]]))</f>
        <v/>
      </c>
      <c r="L2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6" s="55" t="str">
        <f>IF(tblCases[[#This Row],[次回行]]="","",INDEX(tblTasks[担当者],tblCases[[#This Row],[次回行]])&amp;"")</f>
        <v/>
      </c>
      <c r="N26" s="56" t="str">
        <f>IF(tblCases[[#This Row],[次回行]]="","",tblCases[[#This Row],[次回期限値]])</f>
        <v/>
      </c>
      <c r="O2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6" s="49" t="n"/>
      <c r="Q26" s="57" t="str">
        <f>IF(tblCases[[#This Row],[顧客側担当者ID]]="","",IFERROR(INDEX(tblContacts[氏名],MATCH(tblCases[[#This Row],[顧客側担当者ID]],tblContacts[担当者ID],0))&amp;"","（未登録のID）"))</f>
        <v/>
      </c>
      <c r="R26" s="49" t="n"/>
      <c r="S26" s="58" t="n"/>
      <c r="T26" s="59" t="n"/>
      <c r="U26" s="60" t="n"/>
      <c r="V26" s="60" t="n"/>
      <c r="W26" s="51" t="n"/>
      <c r="X26" s="51" t="n"/>
      <c r="Y26" s="51" t="n"/>
      <c r="Z26" s="51" t="n"/>
      <c r="AA2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6" s="61" t="str">
        <f>IF(tblCases[[#This Row],[営業段階]]="","",IFERROR(INDEX(lst_StageKind,MATCH(tblCases[[#This Row],[営業段階]],lst_Stage,0))&amp;"","候補外"))</f>
        <v/>
      </c>
      <c r="AC26" s="61" t="str">
        <f>IF(tblCases[[#This Row],[追客状態]]="","",IFERROR(INDEX(lst_StatusKind,MATCH(tblCases[[#This Row],[追客状態]],lst_Status,0))&amp;"","候補外"))</f>
        <v/>
      </c>
      <c r="AD2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6" s="61">
        <f>IF(AND(tblCases[[#This Row],[案件ID]]&lt;&gt;"",OR(tblCases[[#This Row],[状態区分]]="進行",tblCases[[#This Row],[状態区分]]="待機")),1,0)</f>
        <v>0</v>
      </c>
      <c r="AG26" s="62">
        <f>IF(tblCases[[#This Row],[案件ID]]="",0,_xlfn.MAXIFS(tblHistory[実施日時],tblHistory[案件ID],tblCases[[#This Row],[案件ID]],tblHistory[集計対象],1))</f>
        <v>0.0</v>
      </c>
      <c r="AH26" s="62">
        <f>IF(tblCases[[#This Row],[案件ID]]="",0,_xlfn.MAXIFS(tblHistory[実施日時],tblHistory[案件ID],tblCases[[#This Row],[案件ID]],tblHistory[集計対象],1,tblHistory[実接点],1))</f>
        <v>0.0</v>
      </c>
      <c r="AI2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6" s="61" t="str">
        <f>IF(N(tblCases[[#This Row],[最新ID番号]])=0,"",IFERROR(MATCH(tblCases[[#This Row],[案件ID]]&amp;"|"&amp;tblCases[[#This Row],[最新ID番号]],tblHistory[照合キー],0),""))</f>
        <v/>
      </c>
      <c r="AK26" s="63">
        <f>IF(tblCases[[#This Row],[案件ID]]="",0,_xlfn.MINIFS(tblTasks[期限日],tblTasks[案件ID],tblCases[[#This Row],[案件ID]],tblTasks[次回候補],1))</f>
        <v>0.0</v>
      </c>
      <c r="AL26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6" s="61" t="str">
        <f>IF(N(tblCases[[#This Row],[次回ID番号]])=0,"",IFERROR(MATCH(tblCases[[#This Row],[案件ID]]&amp;"|"&amp;tblCases[[#This Row],[次回ID番号]],tblTasks[照合キー],0),""))</f>
        <v/>
      </c>
      <c r="AN26" s="61">
        <f>IF(tblCases[[#This Row],[案件ID]]="",0,COUNTIFS(tblTasks[案件ID],tblCases[[#This Row],[案件ID]],tblTasks[表示区分],"期限未設定"))</f>
        <v>0</v>
      </c>
      <c r="AO26" s="61">
        <f>IF(tblCases[[#This Row],[案件ID]]="",0,COUNTIFS(tblTasks[案件ID],tblCases[[#This Row],[案件ID]],tblTasks[未完了],1,tblTasks[区分],"社内確認"))</f>
        <v>0</v>
      </c>
      <c r="AP26" s="61">
        <f>IF(OR(HomeStaff="",HomeStaff="全員",HomeStaff=tblCases[[#This Row],[社内担当]]),1,0)</f>
        <v>1</v>
      </c>
      <c r="AQ26" s="61">
        <f>IF(AND(tblCases[[#This Row],[進行中]]=1,tblCases[[#This Row],[次回期限値]]=0,tblCases[[#This Row],[担当一致]]=1),1,0)</f>
        <v>0</v>
      </c>
      <c r="AR26" s="61">
        <f>INT(N(tblCases[[#This Row],[最新接点値]]))*100000+N(tblCases[[#This Row],[ID番号]])</f>
        <v>0</v>
      </c>
      <c r="AS26" s="61" t="str">
        <f>IF(tblCases[[#This Row],[未設定対象]]=1,COUNTIFS(tblCases[未設定対象],1,tblCases[並びキー],"&lt;"&amp;tblCases[[#This Row],[並びキー]])+1,"")</f>
        <v/>
      </c>
      <c r="AT26" s="61" t="str">
        <f>IFERROR(VALUE(MID(tblCases[[#This Row],[案件ID]],2,20)),"")</f>
        <v/>
      </c>
    </row>
    <row r="27">
      <c r="A27" s="49" t="n"/>
      <c r="B27" s="49" t="n"/>
      <c r="C27" s="50" t="str">
        <f>IF(tblCases[[#This Row],[顧客ID]]="","",IFERROR(INDEX(tblCustomers[会社名],MATCH(tblCases[[#This Row],[顧客ID]],tblCustomers[顧客ID],0))&amp;"","（未登録の顧客ID）"))</f>
        <v/>
      </c>
      <c r="D27" s="51" t="n"/>
      <c r="E27" s="52" t="n"/>
      <c r="F27" s="52" t="n"/>
      <c r="G27" s="52" t="n"/>
      <c r="H2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7" s="53" t="str">
        <f>IF(tblCases[[#This Row],[案件ID]]="","",IF(tblCases[[#This Row],[最新会話値]]=0,"なし",tblCases[[#This Row],[最新会話値]]))</f>
        <v/>
      </c>
      <c r="J27" s="53" t="str">
        <f>IF(tblCases[[#This Row],[案件ID]]="","",IF(tblCases[[#This Row],[最新接点値]]=0,"履歴なし",tblCases[[#This Row],[最新接点値]]))</f>
        <v/>
      </c>
      <c r="K27" s="54" t="str">
        <f>IF(OR(tblCases[[#This Row],[案件ID]]="",tblCases[[#This Row],[最新接点値]]=0),"",RefDate-INT(tblCases[[#This Row],[最新接点値]]))</f>
        <v/>
      </c>
      <c r="L2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7" s="55" t="str">
        <f>IF(tblCases[[#This Row],[次回行]]="","",INDEX(tblTasks[担当者],tblCases[[#This Row],[次回行]])&amp;"")</f>
        <v/>
      </c>
      <c r="N27" s="56" t="str">
        <f>IF(tblCases[[#This Row],[次回行]]="","",tblCases[[#This Row],[次回期限値]])</f>
        <v/>
      </c>
      <c r="O2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7" s="49" t="n"/>
      <c r="Q27" s="57" t="str">
        <f>IF(tblCases[[#This Row],[顧客側担当者ID]]="","",IFERROR(INDEX(tblContacts[氏名],MATCH(tblCases[[#This Row],[顧客側担当者ID]],tblContacts[担当者ID],0))&amp;"","（未登録のID）"))</f>
        <v/>
      </c>
      <c r="R27" s="49" t="n"/>
      <c r="S27" s="58" t="n"/>
      <c r="T27" s="59" t="n"/>
      <c r="U27" s="60" t="n"/>
      <c r="V27" s="60" t="n"/>
      <c r="W27" s="51" t="n"/>
      <c r="X27" s="51" t="n"/>
      <c r="Y27" s="51" t="n"/>
      <c r="Z27" s="51" t="n"/>
      <c r="AA2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7" s="61" t="str">
        <f>IF(tblCases[[#This Row],[営業段階]]="","",IFERROR(INDEX(lst_StageKind,MATCH(tblCases[[#This Row],[営業段階]],lst_Stage,0))&amp;"","候補外"))</f>
        <v/>
      </c>
      <c r="AC27" s="61" t="str">
        <f>IF(tblCases[[#This Row],[追客状態]]="","",IFERROR(INDEX(lst_StatusKind,MATCH(tblCases[[#This Row],[追客状態]],lst_Status,0))&amp;"","候補外"))</f>
        <v/>
      </c>
      <c r="AD2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7" s="61">
        <f>IF(AND(tblCases[[#This Row],[案件ID]]&lt;&gt;"",OR(tblCases[[#This Row],[状態区分]]="進行",tblCases[[#This Row],[状態区分]]="待機")),1,0)</f>
        <v>0</v>
      </c>
      <c r="AG27" s="62">
        <f>IF(tblCases[[#This Row],[案件ID]]="",0,_xlfn.MAXIFS(tblHistory[実施日時],tblHistory[案件ID],tblCases[[#This Row],[案件ID]],tblHistory[集計対象],1))</f>
        <v>0.0</v>
      </c>
      <c r="AH27" s="62">
        <f>IF(tblCases[[#This Row],[案件ID]]="",0,_xlfn.MAXIFS(tblHistory[実施日時],tblHistory[案件ID],tblCases[[#This Row],[案件ID]],tblHistory[集計対象],1,tblHistory[実接点],1))</f>
        <v>0.0</v>
      </c>
      <c r="AI27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7" s="61" t="str">
        <f>IF(N(tblCases[[#This Row],[最新ID番号]])=0,"",IFERROR(MATCH(tblCases[[#This Row],[案件ID]]&amp;"|"&amp;tblCases[[#This Row],[最新ID番号]],tblHistory[照合キー],0),""))</f>
        <v/>
      </c>
      <c r="AK27" s="63">
        <f>IF(tblCases[[#This Row],[案件ID]]="",0,_xlfn.MINIFS(tblTasks[期限日],tblTasks[案件ID],tblCases[[#This Row],[案件ID]],tblTasks[次回候補],1))</f>
        <v>0.0</v>
      </c>
      <c r="AL27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7" s="61" t="str">
        <f>IF(N(tblCases[[#This Row],[次回ID番号]])=0,"",IFERROR(MATCH(tblCases[[#This Row],[案件ID]]&amp;"|"&amp;tblCases[[#This Row],[次回ID番号]],tblTasks[照合キー],0),""))</f>
        <v/>
      </c>
      <c r="AN27" s="61">
        <f>IF(tblCases[[#This Row],[案件ID]]="",0,COUNTIFS(tblTasks[案件ID],tblCases[[#This Row],[案件ID]],tblTasks[表示区分],"期限未設定"))</f>
        <v>0</v>
      </c>
      <c r="AO27" s="61">
        <f>IF(tblCases[[#This Row],[案件ID]]="",0,COUNTIFS(tblTasks[案件ID],tblCases[[#This Row],[案件ID]],tblTasks[未完了],1,tblTasks[区分],"社内確認"))</f>
        <v>0</v>
      </c>
      <c r="AP27" s="61">
        <f>IF(OR(HomeStaff="",HomeStaff="全員",HomeStaff=tblCases[[#This Row],[社内担当]]),1,0)</f>
        <v>1</v>
      </c>
      <c r="AQ27" s="61">
        <f>IF(AND(tblCases[[#This Row],[進行中]]=1,tblCases[[#This Row],[次回期限値]]=0,tblCases[[#This Row],[担当一致]]=1),1,0)</f>
        <v>0</v>
      </c>
      <c r="AR27" s="61">
        <f>INT(N(tblCases[[#This Row],[最新接点値]]))*100000+N(tblCases[[#This Row],[ID番号]])</f>
        <v>0</v>
      </c>
      <c r="AS27" s="61" t="str">
        <f>IF(tblCases[[#This Row],[未設定対象]]=1,COUNTIFS(tblCases[未設定対象],1,tblCases[並びキー],"&lt;"&amp;tblCases[[#This Row],[並びキー]])+1,"")</f>
        <v/>
      </c>
      <c r="AT27" s="61" t="str">
        <f>IFERROR(VALUE(MID(tblCases[[#This Row],[案件ID]],2,20)),"")</f>
        <v/>
      </c>
    </row>
    <row r="28">
      <c r="A28" s="49" t="n"/>
      <c r="B28" s="49" t="n"/>
      <c r="C28" s="50" t="str">
        <f>IF(tblCases[[#This Row],[顧客ID]]="","",IFERROR(INDEX(tblCustomers[会社名],MATCH(tblCases[[#This Row],[顧客ID]],tblCustomers[顧客ID],0))&amp;"","（未登録の顧客ID）"))</f>
        <v/>
      </c>
      <c r="D28" s="51" t="n"/>
      <c r="E28" s="52" t="n"/>
      <c r="F28" s="52" t="n"/>
      <c r="G28" s="52" t="n"/>
      <c r="H2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8" s="53" t="str">
        <f>IF(tblCases[[#This Row],[案件ID]]="","",IF(tblCases[[#This Row],[最新会話値]]=0,"なし",tblCases[[#This Row],[最新会話値]]))</f>
        <v/>
      </c>
      <c r="J28" s="53" t="str">
        <f>IF(tblCases[[#This Row],[案件ID]]="","",IF(tblCases[[#This Row],[最新接点値]]=0,"履歴なし",tblCases[[#This Row],[最新接点値]]))</f>
        <v/>
      </c>
      <c r="K28" s="54" t="str">
        <f>IF(OR(tblCases[[#This Row],[案件ID]]="",tblCases[[#This Row],[最新接点値]]=0),"",RefDate-INT(tblCases[[#This Row],[最新接点値]]))</f>
        <v/>
      </c>
      <c r="L2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8" s="55" t="str">
        <f>IF(tblCases[[#This Row],[次回行]]="","",INDEX(tblTasks[担当者],tblCases[[#This Row],[次回行]])&amp;"")</f>
        <v/>
      </c>
      <c r="N28" s="56" t="str">
        <f>IF(tblCases[[#This Row],[次回行]]="","",tblCases[[#This Row],[次回期限値]])</f>
        <v/>
      </c>
      <c r="O2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8" s="49" t="n"/>
      <c r="Q28" s="57" t="str">
        <f>IF(tblCases[[#This Row],[顧客側担当者ID]]="","",IFERROR(INDEX(tblContacts[氏名],MATCH(tblCases[[#This Row],[顧客側担当者ID]],tblContacts[担当者ID],0))&amp;"","（未登録のID）"))</f>
        <v/>
      </c>
      <c r="R28" s="49" t="n"/>
      <c r="S28" s="58" t="n"/>
      <c r="T28" s="59" t="n"/>
      <c r="U28" s="60" t="n"/>
      <c r="V28" s="60" t="n"/>
      <c r="W28" s="51" t="n"/>
      <c r="X28" s="51" t="n"/>
      <c r="Y28" s="51" t="n"/>
      <c r="Z28" s="51" t="n"/>
      <c r="AA2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8" s="61" t="str">
        <f>IF(tblCases[[#This Row],[営業段階]]="","",IFERROR(INDEX(lst_StageKind,MATCH(tblCases[[#This Row],[営業段階]],lst_Stage,0))&amp;"","候補外"))</f>
        <v/>
      </c>
      <c r="AC28" s="61" t="str">
        <f>IF(tblCases[[#This Row],[追客状態]]="","",IFERROR(INDEX(lst_StatusKind,MATCH(tblCases[[#This Row],[追客状態]],lst_Status,0))&amp;"","候補外"))</f>
        <v/>
      </c>
      <c r="AD2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8" s="61">
        <f>IF(AND(tblCases[[#This Row],[案件ID]]&lt;&gt;"",OR(tblCases[[#This Row],[状態区分]]="進行",tblCases[[#This Row],[状態区分]]="待機")),1,0)</f>
        <v>0</v>
      </c>
      <c r="AG28" s="62">
        <f>IF(tblCases[[#This Row],[案件ID]]="",0,_xlfn.MAXIFS(tblHistory[実施日時],tblHistory[案件ID],tblCases[[#This Row],[案件ID]],tblHistory[集計対象],1))</f>
        <v>0.0</v>
      </c>
      <c r="AH28" s="62">
        <f>IF(tblCases[[#This Row],[案件ID]]="",0,_xlfn.MAXIFS(tblHistory[実施日時],tblHistory[案件ID],tblCases[[#This Row],[案件ID]],tblHistory[集計対象],1,tblHistory[実接点],1))</f>
        <v>0.0</v>
      </c>
      <c r="AI28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8" s="61" t="str">
        <f>IF(N(tblCases[[#This Row],[最新ID番号]])=0,"",IFERROR(MATCH(tblCases[[#This Row],[案件ID]]&amp;"|"&amp;tblCases[[#This Row],[最新ID番号]],tblHistory[照合キー],0),""))</f>
        <v/>
      </c>
      <c r="AK28" s="63">
        <f>IF(tblCases[[#This Row],[案件ID]]="",0,_xlfn.MINIFS(tblTasks[期限日],tblTasks[案件ID],tblCases[[#This Row],[案件ID]],tblTasks[次回候補],1))</f>
        <v>0.0</v>
      </c>
      <c r="AL28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8" s="61" t="str">
        <f>IF(N(tblCases[[#This Row],[次回ID番号]])=0,"",IFERROR(MATCH(tblCases[[#This Row],[案件ID]]&amp;"|"&amp;tblCases[[#This Row],[次回ID番号]],tblTasks[照合キー],0),""))</f>
        <v/>
      </c>
      <c r="AN28" s="61">
        <f>IF(tblCases[[#This Row],[案件ID]]="",0,COUNTIFS(tblTasks[案件ID],tblCases[[#This Row],[案件ID]],tblTasks[表示区分],"期限未設定"))</f>
        <v>0</v>
      </c>
      <c r="AO28" s="61">
        <f>IF(tblCases[[#This Row],[案件ID]]="",0,COUNTIFS(tblTasks[案件ID],tblCases[[#This Row],[案件ID]],tblTasks[未完了],1,tblTasks[区分],"社内確認"))</f>
        <v>0</v>
      </c>
      <c r="AP28" s="61">
        <f>IF(OR(HomeStaff="",HomeStaff="全員",HomeStaff=tblCases[[#This Row],[社内担当]]),1,0)</f>
        <v>1</v>
      </c>
      <c r="AQ28" s="61">
        <f>IF(AND(tblCases[[#This Row],[進行中]]=1,tblCases[[#This Row],[次回期限値]]=0,tblCases[[#This Row],[担当一致]]=1),1,0)</f>
        <v>0</v>
      </c>
      <c r="AR28" s="61">
        <f>INT(N(tblCases[[#This Row],[最新接点値]]))*100000+N(tblCases[[#This Row],[ID番号]])</f>
        <v>0</v>
      </c>
      <c r="AS28" s="61" t="str">
        <f>IF(tblCases[[#This Row],[未設定対象]]=1,COUNTIFS(tblCases[未設定対象],1,tblCases[並びキー],"&lt;"&amp;tblCases[[#This Row],[並びキー]])+1,"")</f>
        <v/>
      </c>
      <c r="AT28" s="61" t="str">
        <f>IFERROR(VALUE(MID(tblCases[[#This Row],[案件ID]],2,20)),"")</f>
        <v/>
      </c>
    </row>
    <row r="29">
      <c r="A29" s="49" t="n"/>
      <c r="B29" s="49" t="n"/>
      <c r="C29" s="50" t="str">
        <f>IF(tblCases[[#This Row],[顧客ID]]="","",IFERROR(INDEX(tblCustomers[会社名],MATCH(tblCases[[#This Row],[顧客ID]],tblCustomers[顧客ID],0))&amp;"","（未登録の顧客ID）"))</f>
        <v/>
      </c>
      <c r="D29" s="51" t="n"/>
      <c r="E29" s="52" t="n"/>
      <c r="F29" s="52" t="n"/>
      <c r="G29" s="52" t="n"/>
      <c r="H2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29" s="53" t="str">
        <f>IF(tblCases[[#This Row],[案件ID]]="","",IF(tblCases[[#This Row],[最新会話値]]=0,"なし",tblCases[[#This Row],[最新会話値]]))</f>
        <v/>
      </c>
      <c r="J29" s="53" t="str">
        <f>IF(tblCases[[#This Row],[案件ID]]="","",IF(tblCases[[#This Row],[最新接点値]]=0,"履歴なし",tblCases[[#This Row],[最新接点値]]))</f>
        <v/>
      </c>
      <c r="K29" s="54" t="str">
        <f>IF(OR(tblCases[[#This Row],[案件ID]]="",tblCases[[#This Row],[最新接点値]]=0),"",RefDate-INT(tblCases[[#This Row],[最新接点値]]))</f>
        <v/>
      </c>
      <c r="L2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29" s="55" t="str">
        <f>IF(tblCases[[#This Row],[次回行]]="","",INDEX(tblTasks[担当者],tblCases[[#This Row],[次回行]])&amp;"")</f>
        <v/>
      </c>
      <c r="N29" s="56" t="str">
        <f>IF(tblCases[[#This Row],[次回行]]="","",tblCases[[#This Row],[次回期限値]])</f>
        <v/>
      </c>
      <c r="O2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29" s="49" t="n"/>
      <c r="Q29" s="57" t="str">
        <f>IF(tblCases[[#This Row],[顧客側担当者ID]]="","",IFERROR(INDEX(tblContacts[氏名],MATCH(tblCases[[#This Row],[顧客側担当者ID]],tblContacts[担当者ID],0))&amp;"","（未登録のID）"))</f>
        <v/>
      </c>
      <c r="R29" s="49" t="n"/>
      <c r="S29" s="58" t="n"/>
      <c r="T29" s="59" t="n"/>
      <c r="U29" s="60" t="n"/>
      <c r="V29" s="60" t="n"/>
      <c r="W29" s="51" t="n"/>
      <c r="X29" s="51" t="n"/>
      <c r="Y29" s="51" t="n"/>
      <c r="Z29" s="51" t="n"/>
      <c r="AA2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29" s="61" t="str">
        <f>IF(tblCases[[#This Row],[営業段階]]="","",IFERROR(INDEX(lst_StageKind,MATCH(tblCases[[#This Row],[営業段階]],lst_Stage,0))&amp;"","候補外"))</f>
        <v/>
      </c>
      <c r="AC29" s="61" t="str">
        <f>IF(tblCases[[#This Row],[追客状態]]="","",IFERROR(INDEX(lst_StatusKind,MATCH(tblCases[[#This Row],[追客状態]],lst_Status,0))&amp;"","候補外"))</f>
        <v/>
      </c>
      <c r="AD2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2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29" s="61">
        <f>IF(AND(tblCases[[#This Row],[案件ID]]&lt;&gt;"",OR(tblCases[[#This Row],[状態区分]]="進行",tblCases[[#This Row],[状態区分]]="待機")),1,0)</f>
        <v>0</v>
      </c>
      <c r="AG29" s="62">
        <f>IF(tblCases[[#This Row],[案件ID]]="",0,_xlfn.MAXIFS(tblHistory[実施日時],tblHistory[案件ID],tblCases[[#This Row],[案件ID]],tblHistory[集計対象],1))</f>
        <v>0.0</v>
      </c>
      <c r="AH29" s="62">
        <f>IF(tblCases[[#This Row],[案件ID]]="",0,_xlfn.MAXIFS(tblHistory[実施日時],tblHistory[案件ID],tblCases[[#This Row],[案件ID]],tblHistory[集計対象],1,tblHistory[実接点],1))</f>
        <v>0.0</v>
      </c>
      <c r="AI29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29" s="61" t="str">
        <f>IF(N(tblCases[[#This Row],[最新ID番号]])=0,"",IFERROR(MATCH(tblCases[[#This Row],[案件ID]]&amp;"|"&amp;tblCases[[#This Row],[最新ID番号]],tblHistory[照合キー],0),""))</f>
        <v/>
      </c>
      <c r="AK29" s="63">
        <f>IF(tblCases[[#This Row],[案件ID]]="",0,_xlfn.MINIFS(tblTasks[期限日],tblTasks[案件ID],tblCases[[#This Row],[案件ID]],tblTasks[次回候補],1))</f>
        <v>0.0</v>
      </c>
      <c r="AL29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29" s="61" t="str">
        <f>IF(N(tblCases[[#This Row],[次回ID番号]])=0,"",IFERROR(MATCH(tblCases[[#This Row],[案件ID]]&amp;"|"&amp;tblCases[[#This Row],[次回ID番号]],tblTasks[照合キー],0),""))</f>
        <v/>
      </c>
      <c r="AN29" s="61">
        <f>IF(tblCases[[#This Row],[案件ID]]="",0,COUNTIFS(tblTasks[案件ID],tblCases[[#This Row],[案件ID]],tblTasks[表示区分],"期限未設定"))</f>
        <v>0</v>
      </c>
      <c r="AO29" s="61">
        <f>IF(tblCases[[#This Row],[案件ID]]="",0,COUNTIFS(tblTasks[案件ID],tblCases[[#This Row],[案件ID]],tblTasks[未完了],1,tblTasks[区分],"社内確認"))</f>
        <v>0</v>
      </c>
      <c r="AP29" s="61">
        <f>IF(OR(HomeStaff="",HomeStaff="全員",HomeStaff=tblCases[[#This Row],[社内担当]]),1,0)</f>
        <v>1</v>
      </c>
      <c r="AQ29" s="61">
        <f>IF(AND(tblCases[[#This Row],[進行中]]=1,tblCases[[#This Row],[次回期限値]]=0,tblCases[[#This Row],[担当一致]]=1),1,0)</f>
        <v>0</v>
      </c>
      <c r="AR29" s="61">
        <f>INT(N(tblCases[[#This Row],[最新接点値]]))*100000+N(tblCases[[#This Row],[ID番号]])</f>
        <v>0</v>
      </c>
      <c r="AS29" s="61" t="str">
        <f>IF(tblCases[[#This Row],[未設定対象]]=1,COUNTIFS(tblCases[未設定対象],1,tblCases[並びキー],"&lt;"&amp;tblCases[[#This Row],[並びキー]])+1,"")</f>
        <v/>
      </c>
      <c r="AT29" s="61" t="str">
        <f>IFERROR(VALUE(MID(tblCases[[#This Row],[案件ID]],2,20)),"")</f>
        <v/>
      </c>
    </row>
    <row r="30">
      <c r="A30" s="49" t="n"/>
      <c r="B30" s="49" t="n"/>
      <c r="C30" s="50" t="str">
        <f>IF(tblCases[[#This Row],[顧客ID]]="","",IFERROR(INDEX(tblCustomers[会社名],MATCH(tblCases[[#This Row],[顧客ID]],tblCustomers[顧客ID],0))&amp;"","（未登録の顧客ID）"))</f>
        <v/>
      </c>
      <c r="D30" s="51" t="n"/>
      <c r="E30" s="52" t="n"/>
      <c r="F30" s="52" t="n"/>
      <c r="G30" s="52" t="n"/>
      <c r="H3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0" s="53" t="str">
        <f>IF(tblCases[[#This Row],[案件ID]]="","",IF(tblCases[[#This Row],[最新会話値]]=0,"なし",tblCases[[#This Row],[最新会話値]]))</f>
        <v/>
      </c>
      <c r="J30" s="53" t="str">
        <f>IF(tblCases[[#This Row],[案件ID]]="","",IF(tblCases[[#This Row],[最新接点値]]=0,"履歴なし",tblCases[[#This Row],[最新接点値]]))</f>
        <v/>
      </c>
      <c r="K30" s="54" t="str">
        <f>IF(OR(tblCases[[#This Row],[案件ID]]="",tblCases[[#This Row],[最新接点値]]=0),"",RefDate-INT(tblCases[[#This Row],[最新接点値]]))</f>
        <v/>
      </c>
      <c r="L3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0" s="55" t="str">
        <f>IF(tblCases[[#This Row],[次回行]]="","",INDEX(tblTasks[担当者],tblCases[[#This Row],[次回行]])&amp;"")</f>
        <v/>
      </c>
      <c r="N30" s="56" t="str">
        <f>IF(tblCases[[#This Row],[次回行]]="","",tblCases[[#This Row],[次回期限値]])</f>
        <v/>
      </c>
      <c r="O3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0" s="49" t="n"/>
      <c r="Q30" s="57" t="str">
        <f>IF(tblCases[[#This Row],[顧客側担当者ID]]="","",IFERROR(INDEX(tblContacts[氏名],MATCH(tblCases[[#This Row],[顧客側担当者ID]],tblContacts[担当者ID],0))&amp;"","（未登録のID）"))</f>
        <v/>
      </c>
      <c r="R30" s="49" t="n"/>
      <c r="S30" s="58" t="n"/>
      <c r="T30" s="59" t="n"/>
      <c r="U30" s="60" t="n"/>
      <c r="V30" s="60" t="n"/>
      <c r="W30" s="51" t="n"/>
      <c r="X30" s="51" t="n"/>
      <c r="Y30" s="51" t="n"/>
      <c r="Z30" s="51" t="n"/>
      <c r="AA3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0" s="61" t="str">
        <f>IF(tblCases[[#This Row],[営業段階]]="","",IFERROR(INDEX(lst_StageKind,MATCH(tblCases[[#This Row],[営業段階]],lst_Stage,0))&amp;"","候補外"))</f>
        <v/>
      </c>
      <c r="AC30" s="61" t="str">
        <f>IF(tblCases[[#This Row],[追客状態]]="","",IFERROR(INDEX(lst_StatusKind,MATCH(tblCases[[#This Row],[追客状態]],lst_Status,0))&amp;"","候補外"))</f>
        <v/>
      </c>
      <c r="AD3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0" s="61">
        <f>IF(AND(tblCases[[#This Row],[案件ID]]&lt;&gt;"",OR(tblCases[[#This Row],[状態区分]]="進行",tblCases[[#This Row],[状態区分]]="待機")),1,0)</f>
        <v>0</v>
      </c>
      <c r="AG30" s="62">
        <f>IF(tblCases[[#This Row],[案件ID]]="",0,_xlfn.MAXIFS(tblHistory[実施日時],tblHistory[案件ID],tblCases[[#This Row],[案件ID]],tblHistory[集計対象],1))</f>
        <v>0.0</v>
      </c>
      <c r="AH30" s="62">
        <f>IF(tblCases[[#This Row],[案件ID]]="",0,_xlfn.MAXIFS(tblHistory[実施日時],tblHistory[案件ID],tblCases[[#This Row],[案件ID]],tblHistory[集計対象],1,tblHistory[実接点],1))</f>
        <v>0.0</v>
      </c>
      <c r="AI30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0" s="61" t="str">
        <f>IF(N(tblCases[[#This Row],[最新ID番号]])=0,"",IFERROR(MATCH(tblCases[[#This Row],[案件ID]]&amp;"|"&amp;tblCases[[#This Row],[最新ID番号]],tblHistory[照合キー],0),""))</f>
        <v/>
      </c>
      <c r="AK30" s="63">
        <f>IF(tblCases[[#This Row],[案件ID]]="",0,_xlfn.MINIFS(tblTasks[期限日],tblTasks[案件ID],tblCases[[#This Row],[案件ID]],tblTasks[次回候補],1))</f>
        <v>0.0</v>
      </c>
      <c r="AL3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0" s="61" t="str">
        <f>IF(N(tblCases[[#This Row],[次回ID番号]])=0,"",IFERROR(MATCH(tblCases[[#This Row],[案件ID]]&amp;"|"&amp;tblCases[[#This Row],[次回ID番号]],tblTasks[照合キー],0),""))</f>
        <v/>
      </c>
      <c r="AN30" s="61">
        <f>IF(tblCases[[#This Row],[案件ID]]="",0,COUNTIFS(tblTasks[案件ID],tblCases[[#This Row],[案件ID]],tblTasks[表示区分],"期限未設定"))</f>
        <v>0</v>
      </c>
      <c r="AO30" s="61">
        <f>IF(tblCases[[#This Row],[案件ID]]="",0,COUNTIFS(tblTasks[案件ID],tblCases[[#This Row],[案件ID]],tblTasks[未完了],1,tblTasks[区分],"社内確認"))</f>
        <v>0</v>
      </c>
      <c r="AP30" s="61">
        <f>IF(OR(HomeStaff="",HomeStaff="全員",HomeStaff=tblCases[[#This Row],[社内担当]]),1,0)</f>
        <v>1</v>
      </c>
      <c r="AQ30" s="61">
        <f>IF(AND(tblCases[[#This Row],[進行中]]=1,tblCases[[#This Row],[次回期限値]]=0,tblCases[[#This Row],[担当一致]]=1),1,0)</f>
        <v>0</v>
      </c>
      <c r="AR30" s="61">
        <f>INT(N(tblCases[[#This Row],[最新接点値]]))*100000+N(tblCases[[#This Row],[ID番号]])</f>
        <v>0</v>
      </c>
      <c r="AS30" s="61" t="str">
        <f>IF(tblCases[[#This Row],[未設定対象]]=1,COUNTIFS(tblCases[未設定対象],1,tblCases[並びキー],"&lt;"&amp;tblCases[[#This Row],[並びキー]])+1,"")</f>
        <v/>
      </c>
      <c r="AT30" s="61" t="str">
        <f>IFERROR(VALUE(MID(tblCases[[#This Row],[案件ID]],2,20)),"")</f>
        <v/>
      </c>
    </row>
    <row r="31">
      <c r="A31" s="49" t="n"/>
      <c r="B31" s="49" t="n"/>
      <c r="C31" s="50" t="str">
        <f>IF(tblCases[[#This Row],[顧客ID]]="","",IFERROR(INDEX(tblCustomers[会社名],MATCH(tblCases[[#This Row],[顧客ID]],tblCustomers[顧客ID],0))&amp;"","（未登録の顧客ID）"))</f>
        <v/>
      </c>
      <c r="D31" s="51" t="n"/>
      <c r="E31" s="52" t="n"/>
      <c r="F31" s="52" t="n"/>
      <c r="G31" s="52" t="n"/>
      <c r="H3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1" s="53" t="str">
        <f>IF(tblCases[[#This Row],[案件ID]]="","",IF(tblCases[[#This Row],[最新会話値]]=0,"なし",tblCases[[#This Row],[最新会話値]]))</f>
        <v/>
      </c>
      <c r="J31" s="53" t="str">
        <f>IF(tblCases[[#This Row],[案件ID]]="","",IF(tblCases[[#This Row],[最新接点値]]=0,"履歴なし",tblCases[[#This Row],[最新接点値]]))</f>
        <v/>
      </c>
      <c r="K31" s="54" t="str">
        <f>IF(OR(tblCases[[#This Row],[案件ID]]="",tblCases[[#This Row],[最新接点値]]=0),"",RefDate-INT(tblCases[[#This Row],[最新接点値]]))</f>
        <v/>
      </c>
      <c r="L3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1" s="55" t="str">
        <f>IF(tblCases[[#This Row],[次回行]]="","",INDEX(tblTasks[担当者],tblCases[[#This Row],[次回行]])&amp;"")</f>
        <v/>
      </c>
      <c r="N31" s="56" t="str">
        <f>IF(tblCases[[#This Row],[次回行]]="","",tblCases[[#This Row],[次回期限値]])</f>
        <v/>
      </c>
      <c r="O3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1" s="49" t="n"/>
      <c r="Q31" s="57" t="str">
        <f>IF(tblCases[[#This Row],[顧客側担当者ID]]="","",IFERROR(INDEX(tblContacts[氏名],MATCH(tblCases[[#This Row],[顧客側担当者ID]],tblContacts[担当者ID],0))&amp;"","（未登録のID）"))</f>
        <v/>
      </c>
      <c r="R31" s="49" t="n"/>
      <c r="S31" s="58" t="n"/>
      <c r="T31" s="59" t="n"/>
      <c r="U31" s="60" t="n"/>
      <c r="V31" s="60" t="n"/>
      <c r="W31" s="51" t="n"/>
      <c r="X31" s="51" t="n"/>
      <c r="Y31" s="51" t="n"/>
      <c r="Z31" s="51" t="n"/>
      <c r="AA3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1" s="61" t="str">
        <f>IF(tblCases[[#This Row],[営業段階]]="","",IFERROR(INDEX(lst_StageKind,MATCH(tblCases[[#This Row],[営業段階]],lst_Stage,0))&amp;"","候補外"))</f>
        <v/>
      </c>
      <c r="AC31" s="61" t="str">
        <f>IF(tblCases[[#This Row],[追客状態]]="","",IFERROR(INDEX(lst_StatusKind,MATCH(tblCases[[#This Row],[追客状態]],lst_Status,0))&amp;"","候補外"))</f>
        <v/>
      </c>
      <c r="AD3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1" s="61">
        <f>IF(AND(tblCases[[#This Row],[案件ID]]&lt;&gt;"",OR(tblCases[[#This Row],[状態区分]]="進行",tblCases[[#This Row],[状態区分]]="待機")),1,0)</f>
        <v>0</v>
      </c>
      <c r="AG31" s="62">
        <f>IF(tblCases[[#This Row],[案件ID]]="",0,_xlfn.MAXIFS(tblHistory[実施日時],tblHistory[案件ID],tblCases[[#This Row],[案件ID]],tblHistory[集計対象],1))</f>
        <v>0.0</v>
      </c>
      <c r="AH31" s="62">
        <f>IF(tblCases[[#This Row],[案件ID]]="",0,_xlfn.MAXIFS(tblHistory[実施日時],tblHistory[案件ID],tblCases[[#This Row],[案件ID]],tblHistory[集計対象],1,tblHistory[実接点],1))</f>
        <v>0.0</v>
      </c>
      <c r="AI31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1" s="61" t="str">
        <f>IF(N(tblCases[[#This Row],[最新ID番号]])=0,"",IFERROR(MATCH(tblCases[[#This Row],[案件ID]]&amp;"|"&amp;tblCases[[#This Row],[最新ID番号]],tblHistory[照合キー],0),""))</f>
        <v/>
      </c>
      <c r="AK31" s="63">
        <f>IF(tblCases[[#This Row],[案件ID]]="",0,_xlfn.MINIFS(tblTasks[期限日],tblTasks[案件ID],tblCases[[#This Row],[案件ID]],tblTasks[次回候補],1))</f>
        <v>0.0</v>
      </c>
      <c r="AL3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1" s="61" t="str">
        <f>IF(N(tblCases[[#This Row],[次回ID番号]])=0,"",IFERROR(MATCH(tblCases[[#This Row],[案件ID]]&amp;"|"&amp;tblCases[[#This Row],[次回ID番号]],tblTasks[照合キー],0),""))</f>
        <v/>
      </c>
      <c r="AN31" s="61">
        <f>IF(tblCases[[#This Row],[案件ID]]="",0,COUNTIFS(tblTasks[案件ID],tblCases[[#This Row],[案件ID]],tblTasks[表示区分],"期限未設定"))</f>
        <v>0</v>
      </c>
      <c r="AO31" s="61">
        <f>IF(tblCases[[#This Row],[案件ID]]="",0,COUNTIFS(tblTasks[案件ID],tblCases[[#This Row],[案件ID]],tblTasks[未完了],1,tblTasks[区分],"社内確認"))</f>
        <v>0</v>
      </c>
      <c r="AP31" s="61">
        <f>IF(OR(HomeStaff="",HomeStaff="全員",HomeStaff=tblCases[[#This Row],[社内担当]]),1,0)</f>
        <v>1</v>
      </c>
      <c r="AQ31" s="61">
        <f>IF(AND(tblCases[[#This Row],[進行中]]=1,tblCases[[#This Row],[次回期限値]]=0,tblCases[[#This Row],[担当一致]]=1),1,0)</f>
        <v>0</v>
      </c>
      <c r="AR31" s="61">
        <f>INT(N(tblCases[[#This Row],[最新接点値]]))*100000+N(tblCases[[#This Row],[ID番号]])</f>
        <v>0</v>
      </c>
      <c r="AS31" s="61" t="str">
        <f>IF(tblCases[[#This Row],[未設定対象]]=1,COUNTIFS(tblCases[未設定対象],1,tblCases[並びキー],"&lt;"&amp;tblCases[[#This Row],[並びキー]])+1,"")</f>
        <v/>
      </c>
      <c r="AT31" s="61" t="str">
        <f>IFERROR(VALUE(MID(tblCases[[#This Row],[案件ID]],2,20)),"")</f>
        <v/>
      </c>
    </row>
    <row r="32">
      <c r="A32" s="49" t="n"/>
      <c r="B32" s="49" t="n"/>
      <c r="C32" s="50" t="str">
        <f>IF(tblCases[[#This Row],[顧客ID]]="","",IFERROR(INDEX(tblCustomers[会社名],MATCH(tblCases[[#This Row],[顧客ID]],tblCustomers[顧客ID],0))&amp;"","（未登録の顧客ID）"))</f>
        <v/>
      </c>
      <c r="D32" s="51" t="n"/>
      <c r="E32" s="52" t="n"/>
      <c r="F32" s="52" t="n"/>
      <c r="G32" s="52" t="n"/>
      <c r="H3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2" s="53" t="str">
        <f>IF(tblCases[[#This Row],[案件ID]]="","",IF(tblCases[[#This Row],[最新会話値]]=0,"なし",tblCases[[#This Row],[最新会話値]]))</f>
        <v/>
      </c>
      <c r="J32" s="53" t="str">
        <f>IF(tblCases[[#This Row],[案件ID]]="","",IF(tblCases[[#This Row],[最新接点値]]=0,"履歴なし",tblCases[[#This Row],[最新接点値]]))</f>
        <v/>
      </c>
      <c r="K32" s="54" t="str">
        <f>IF(OR(tblCases[[#This Row],[案件ID]]="",tblCases[[#This Row],[最新接点値]]=0),"",RefDate-INT(tblCases[[#This Row],[最新接点値]]))</f>
        <v/>
      </c>
      <c r="L3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2" s="55" t="str">
        <f>IF(tblCases[[#This Row],[次回行]]="","",INDEX(tblTasks[担当者],tblCases[[#This Row],[次回行]])&amp;"")</f>
        <v/>
      </c>
      <c r="N32" s="56" t="str">
        <f>IF(tblCases[[#This Row],[次回行]]="","",tblCases[[#This Row],[次回期限値]])</f>
        <v/>
      </c>
      <c r="O3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2" s="49" t="n"/>
      <c r="Q32" s="57" t="str">
        <f>IF(tblCases[[#This Row],[顧客側担当者ID]]="","",IFERROR(INDEX(tblContacts[氏名],MATCH(tblCases[[#This Row],[顧客側担当者ID]],tblContacts[担当者ID],0))&amp;"","（未登録のID）"))</f>
        <v/>
      </c>
      <c r="R32" s="49" t="n"/>
      <c r="S32" s="58" t="n"/>
      <c r="T32" s="59" t="n"/>
      <c r="U32" s="60" t="n"/>
      <c r="V32" s="60" t="n"/>
      <c r="W32" s="51" t="n"/>
      <c r="X32" s="51" t="n"/>
      <c r="Y32" s="51" t="n"/>
      <c r="Z32" s="51" t="n"/>
      <c r="AA3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2" s="61" t="str">
        <f>IF(tblCases[[#This Row],[営業段階]]="","",IFERROR(INDEX(lst_StageKind,MATCH(tblCases[[#This Row],[営業段階]],lst_Stage,0))&amp;"","候補外"))</f>
        <v/>
      </c>
      <c r="AC32" s="61" t="str">
        <f>IF(tblCases[[#This Row],[追客状態]]="","",IFERROR(INDEX(lst_StatusKind,MATCH(tblCases[[#This Row],[追客状態]],lst_Status,0))&amp;"","候補外"))</f>
        <v/>
      </c>
      <c r="AD3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2" s="61">
        <f>IF(AND(tblCases[[#This Row],[案件ID]]&lt;&gt;"",OR(tblCases[[#This Row],[状態区分]]="進行",tblCases[[#This Row],[状態区分]]="待機")),1,0)</f>
        <v>0</v>
      </c>
      <c r="AG32" s="62">
        <f>IF(tblCases[[#This Row],[案件ID]]="",0,_xlfn.MAXIFS(tblHistory[実施日時],tblHistory[案件ID],tblCases[[#This Row],[案件ID]],tblHistory[集計対象],1))</f>
        <v>0.0</v>
      </c>
      <c r="AH32" s="62">
        <f>IF(tblCases[[#This Row],[案件ID]]="",0,_xlfn.MAXIFS(tblHistory[実施日時],tblHistory[案件ID],tblCases[[#This Row],[案件ID]],tblHistory[集計対象],1,tblHistory[実接点],1))</f>
        <v>0.0</v>
      </c>
      <c r="AI3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2" s="61" t="str">
        <f>IF(N(tblCases[[#This Row],[最新ID番号]])=0,"",IFERROR(MATCH(tblCases[[#This Row],[案件ID]]&amp;"|"&amp;tblCases[[#This Row],[最新ID番号]],tblHistory[照合キー],0),""))</f>
        <v/>
      </c>
      <c r="AK32" s="63">
        <f>IF(tblCases[[#This Row],[案件ID]]="",0,_xlfn.MINIFS(tblTasks[期限日],tblTasks[案件ID],tblCases[[#This Row],[案件ID]],tblTasks[次回候補],1))</f>
        <v>0.0</v>
      </c>
      <c r="AL3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2" s="61" t="str">
        <f>IF(N(tblCases[[#This Row],[次回ID番号]])=0,"",IFERROR(MATCH(tblCases[[#This Row],[案件ID]]&amp;"|"&amp;tblCases[[#This Row],[次回ID番号]],tblTasks[照合キー],0),""))</f>
        <v/>
      </c>
      <c r="AN32" s="61">
        <f>IF(tblCases[[#This Row],[案件ID]]="",0,COUNTIFS(tblTasks[案件ID],tblCases[[#This Row],[案件ID]],tblTasks[表示区分],"期限未設定"))</f>
        <v>0</v>
      </c>
      <c r="AO32" s="61">
        <f>IF(tblCases[[#This Row],[案件ID]]="",0,COUNTIFS(tblTasks[案件ID],tblCases[[#This Row],[案件ID]],tblTasks[未完了],1,tblTasks[区分],"社内確認"))</f>
        <v>0</v>
      </c>
      <c r="AP32" s="61">
        <f>IF(OR(HomeStaff="",HomeStaff="全員",HomeStaff=tblCases[[#This Row],[社内担当]]),1,0)</f>
        <v>1</v>
      </c>
      <c r="AQ32" s="61">
        <f>IF(AND(tblCases[[#This Row],[進行中]]=1,tblCases[[#This Row],[次回期限値]]=0,tblCases[[#This Row],[担当一致]]=1),1,0)</f>
        <v>0</v>
      </c>
      <c r="AR32" s="61">
        <f>INT(N(tblCases[[#This Row],[最新接点値]]))*100000+N(tblCases[[#This Row],[ID番号]])</f>
        <v>0</v>
      </c>
      <c r="AS32" s="61" t="str">
        <f>IF(tblCases[[#This Row],[未設定対象]]=1,COUNTIFS(tblCases[未設定対象],1,tblCases[並びキー],"&lt;"&amp;tblCases[[#This Row],[並びキー]])+1,"")</f>
        <v/>
      </c>
      <c r="AT32" s="61" t="str">
        <f>IFERROR(VALUE(MID(tblCases[[#This Row],[案件ID]],2,20)),"")</f>
        <v/>
      </c>
    </row>
    <row r="33">
      <c r="A33" s="49" t="n"/>
      <c r="B33" s="49" t="n"/>
      <c r="C33" s="50" t="str">
        <f>IF(tblCases[[#This Row],[顧客ID]]="","",IFERROR(INDEX(tblCustomers[会社名],MATCH(tblCases[[#This Row],[顧客ID]],tblCustomers[顧客ID],0))&amp;"","（未登録の顧客ID）"))</f>
        <v/>
      </c>
      <c r="D33" s="51" t="n"/>
      <c r="E33" s="52" t="n"/>
      <c r="F33" s="52" t="n"/>
      <c r="G33" s="52" t="n"/>
      <c r="H3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3" s="53" t="str">
        <f>IF(tblCases[[#This Row],[案件ID]]="","",IF(tblCases[[#This Row],[最新会話値]]=0,"なし",tblCases[[#This Row],[最新会話値]]))</f>
        <v/>
      </c>
      <c r="J33" s="53" t="str">
        <f>IF(tblCases[[#This Row],[案件ID]]="","",IF(tblCases[[#This Row],[最新接点値]]=0,"履歴なし",tblCases[[#This Row],[最新接点値]]))</f>
        <v/>
      </c>
      <c r="K33" s="54" t="str">
        <f>IF(OR(tblCases[[#This Row],[案件ID]]="",tblCases[[#This Row],[最新接点値]]=0),"",RefDate-INT(tblCases[[#This Row],[最新接点値]]))</f>
        <v/>
      </c>
      <c r="L3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3" s="55" t="str">
        <f>IF(tblCases[[#This Row],[次回行]]="","",INDEX(tblTasks[担当者],tblCases[[#This Row],[次回行]])&amp;"")</f>
        <v/>
      </c>
      <c r="N33" s="56" t="str">
        <f>IF(tblCases[[#This Row],[次回行]]="","",tblCases[[#This Row],[次回期限値]])</f>
        <v/>
      </c>
      <c r="O3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3" s="49" t="n"/>
      <c r="Q33" s="57" t="str">
        <f>IF(tblCases[[#This Row],[顧客側担当者ID]]="","",IFERROR(INDEX(tblContacts[氏名],MATCH(tblCases[[#This Row],[顧客側担当者ID]],tblContacts[担当者ID],0))&amp;"","（未登録のID）"))</f>
        <v/>
      </c>
      <c r="R33" s="49" t="n"/>
      <c r="S33" s="58" t="n"/>
      <c r="T33" s="59" t="n"/>
      <c r="U33" s="60" t="n"/>
      <c r="V33" s="60" t="n"/>
      <c r="W33" s="51" t="n"/>
      <c r="X33" s="51" t="n"/>
      <c r="Y33" s="51" t="n"/>
      <c r="Z33" s="51" t="n"/>
      <c r="AA3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3" s="61" t="str">
        <f>IF(tblCases[[#This Row],[営業段階]]="","",IFERROR(INDEX(lst_StageKind,MATCH(tblCases[[#This Row],[営業段階]],lst_Stage,0))&amp;"","候補外"))</f>
        <v/>
      </c>
      <c r="AC33" s="61" t="str">
        <f>IF(tblCases[[#This Row],[追客状態]]="","",IFERROR(INDEX(lst_StatusKind,MATCH(tblCases[[#This Row],[追客状態]],lst_Status,0))&amp;"","候補外"))</f>
        <v/>
      </c>
      <c r="AD3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3" s="61">
        <f>IF(AND(tblCases[[#This Row],[案件ID]]&lt;&gt;"",OR(tblCases[[#This Row],[状態区分]]="進行",tblCases[[#This Row],[状態区分]]="待機")),1,0)</f>
        <v>0</v>
      </c>
      <c r="AG33" s="62">
        <f>IF(tblCases[[#This Row],[案件ID]]="",0,_xlfn.MAXIFS(tblHistory[実施日時],tblHistory[案件ID],tblCases[[#This Row],[案件ID]],tblHistory[集計対象],1))</f>
        <v>0.0</v>
      </c>
      <c r="AH33" s="62">
        <f>IF(tblCases[[#This Row],[案件ID]]="",0,_xlfn.MAXIFS(tblHistory[実施日時],tblHistory[案件ID],tblCases[[#This Row],[案件ID]],tblHistory[集計対象],1,tblHistory[実接点],1))</f>
        <v>0.0</v>
      </c>
      <c r="AI33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3" s="61" t="str">
        <f>IF(N(tblCases[[#This Row],[最新ID番号]])=0,"",IFERROR(MATCH(tblCases[[#This Row],[案件ID]]&amp;"|"&amp;tblCases[[#This Row],[最新ID番号]],tblHistory[照合キー],0),""))</f>
        <v/>
      </c>
      <c r="AK33" s="63">
        <f>IF(tblCases[[#This Row],[案件ID]]="",0,_xlfn.MINIFS(tblTasks[期限日],tblTasks[案件ID],tblCases[[#This Row],[案件ID]],tblTasks[次回候補],1))</f>
        <v>0.0</v>
      </c>
      <c r="AL3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3" s="61" t="str">
        <f>IF(N(tblCases[[#This Row],[次回ID番号]])=0,"",IFERROR(MATCH(tblCases[[#This Row],[案件ID]]&amp;"|"&amp;tblCases[[#This Row],[次回ID番号]],tblTasks[照合キー],0),""))</f>
        <v/>
      </c>
      <c r="AN33" s="61">
        <f>IF(tblCases[[#This Row],[案件ID]]="",0,COUNTIFS(tblTasks[案件ID],tblCases[[#This Row],[案件ID]],tblTasks[表示区分],"期限未設定"))</f>
        <v>0</v>
      </c>
      <c r="AO33" s="61">
        <f>IF(tblCases[[#This Row],[案件ID]]="",0,COUNTIFS(tblTasks[案件ID],tblCases[[#This Row],[案件ID]],tblTasks[未完了],1,tblTasks[区分],"社内確認"))</f>
        <v>0</v>
      </c>
      <c r="AP33" s="61">
        <f>IF(OR(HomeStaff="",HomeStaff="全員",HomeStaff=tblCases[[#This Row],[社内担当]]),1,0)</f>
        <v>1</v>
      </c>
      <c r="AQ33" s="61">
        <f>IF(AND(tblCases[[#This Row],[進行中]]=1,tblCases[[#This Row],[次回期限値]]=0,tblCases[[#This Row],[担当一致]]=1),1,0)</f>
        <v>0</v>
      </c>
      <c r="AR33" s="61">
        <f>INT(N(tblCases[[#This Row],[最新接点値]]))*100000+N(tblCases[[#This Row],[ID番号]])</f>
        <v>0</v>
      </c>
      <c r="AS33" s="61" t="str">
        <f>IF(tblCases[[#This Row],[未設定対象]]=1,COUNTIFS(tblCases[未設定対象],1,tblCases[並びキー],"&lt;"&amp;tblCases[[#This Row],[並びキー]])+1,"")</f>
        <v/>
      </c>
      <c r="AT33" s="61" t="str">
        <f>IFERROR(VALUE(MID(tblCases[[#This Row],[案件ID]],2,20)),"")</f>
        <v/>
      </c>
    </row>
    <row r="34">
      <c r="A34" s="49" t="n"/>
      <c r="B34" s="49" t="n"/>
      <c r="C34" s="50" t="str">
        <f>IF(tblCases[[#This Row],[顧客ID]]="","",IFERROR(INDEX(tblCustomers[会社名],MATCH(tblCases[[#This Row],[顧客ID]],tblCustomers[顧客ID],0))&amp;"","（未登録の顧客ID）"))</f>
        <v/>
      </c>
      <c r="D34" s="51" t="n"/>
      <c r="E34" s="52" t="n"/>
      <c r="F34" s="52" t="n"/>
      <c r="G34" s="52" t="n"/>
      <c r="H3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4" s="53" t="str">
        <f>IF(tblCases[[#This Row],[案件ID]]="","",IF(tblCases[[#This Row],[最新会話値]]=0,"なし",tblCases[[#This Row],[最新会話値]]))</f>
        <v/>
      </c>
      <c r="J34" s="53" t="str">
        <f>IF(tblCases[[#This Row],[案件ID]]="","",IF(tblCases[[#This Row],[最新接点値]]=0,"履歴なし",tblCases[[#This Row],[最新接点値]]))</f>
        <v/>
      </c>
      <c r="K34" s="54" t="str">
        <f>IF(OR(tblCases[[#This Row],[案件ID]]="",tblCases[[#This Row],[最新接点値]]=0),"",RefDate-INT(tblCases[[#This Row],[最新接点値]]))</f>
        <v/>
      </c>
      <c r="L3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4" s="55" t="str">
        <f>IF(tblCases[[#This Row],[次回行]]="","",INDEX(tblTasks[担当者],tblCases[[#This Row],[次回行]])&amp;"")</f>
        <v/>
      </c>
      <c r="N34" s="56" t="str">
        <f>IF(tblCases[[#This Row],[次回行]]="","",tblCases[[#This Row],[次回期限値]])</f>
        <v/>
      </c>
      <c r="O3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4" s="49" t="n"/>
      <c r="Q34" s="57" t="str">
        <f>IF(tblCases[[#This Row],[顧客側担当者ID]]="","",IFERROR(INDEX(tblContacts[氏名],MATCH(tblCases[[#This Row],[顧客側担当者ID]],tblContacts[担当者ID],0))&amp;"","（未登録のID）"))</f>
        <v/>
      </c>
      <c r="R34" s="49" t="n"/>
      <c r="S34" s="58" t="n"/>
      <c r="T34" s="59" t="n"/>
      <c r="U34" s="60" t="n"/>
      <c r="V34" s="60" t="n"/>
      <c r="W34" s="51" t="n"/>
      <c r="X34" s="51" t="n"/>
      <c r="Y34" s="51" t="n"/>
      <c r="Z34" s="51" t="n"/>
      <c r="AA3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4" s="61" t="str">
        <f>IF(tblCases[[#This Row],[営業段階]]="","",IFERROR(INDEX(lst_StageKind,MATCH(tblCases[[#This Row],[営業段階]],lst_Stage,0))&amp;"","候補外"))</f>
        <v/>
      </c>
      <c r="AC34" s="61" t="str">
        <f>IF(tblCases[[#This Row],[追客状態]]="","",IFERROR(INDEX(lst_StatusKind,MATCH(tblCases[[#This Row],[追客状態]],lst_Status,0))&amp;"","候補外"))</f>
        <v/>
      </c>
      <c r="AD3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4" s="61">
        <f>IF(AND(tblCases[[#This Row],[案件ID]]&lt;&gt;"",OR(tblCases[[#This Row],[状態区分]]="進行",tblCases[[#This Row],[状態区分]]="待機")),1,0)</f>
        <v>0</v>
      </c>
      <c r="AG34" s="62">
        <f>IF(tblCases[[#This Row],[案件ID]]="",0,_xlfn.MAXIFS(tblHistory[実施日時],tblHistory[案件ID],tblCases[[#This Row],[案件ID]],tblHistory[集計対象],1))</f>
        <v>0.0</v>
      </c>
      <c r="AH34" s="62">
        <f>IF(tblCases[[#This Row],[案件ID]]="",0,_xlfn.MAXIFS(tblHistory[実施日時],tblHistory[案件ID],tblCases[[#This Row],[案件ID]],tblHistory[集計対象],1,tblHistory[実接点],1))</f>
        <v>0.0</v>
      </c>
      <c r="AI34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4" s="61" t="str">
        <f>IF(N(tblCases[[#This Row],[最新ID番号]])=0,"",IFERROR(MATCH(tblCases[[#This Row],[案件ID]]&amp;"|"&amp;tblCases[[#This Row],[最新ID番号]],tblHistory[照合キー],0),""))</f>
        <v/>
      </c>
      <c r="AK34" s="63">
        <f>IF(tblCases[[#This Row],[案件ID]]="",0,_xlfn.MINIFS(tblTasks[期限日],tblTasks[案件ID],tblCases[[#This Row],[案件ID]],tblTasks[次回候補],1))</f>
        <v>0.0</v>
      </c>
      <c r="AL34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4" s="61" t="str">
        <f>IF(N(tblCases[[#This Row],[次回ID番号]])=0,"",IFERROR(MATCH(tblCases[[#This Row],[案件ID]]&amp;"|"&amp;tblCases[[#This Row],[次回ID番号]],tblTasks[照合キー],0),""))</f>
        <v/>
      </c>
      <c r="AN34" s="61">
        <f>IF(tblCases[[#This Row],[案件ID]]="",0,COUNTIFS(tblTasks[案件ID],tblCases[[#This Row],[案件ID]],tblTasks[表示区分],"期限未設定"))</f>
        <v>0</v>
      </c>
      <c r="AO34" s="61">
        <f>IF(tblCases[[#This Row],[案件ID]]="",0,COUNTIFS(tblTasks[案件ID],tblCases[[#This Row],[案件ID]],tblTasks[未完了],1,tblTasks[区分],"社内確認"))</f>
        <v>0</v>
      </c>
      <c r="AP34" s="61">
        <f>IF(OR(HomeStaff="",HomeStaff="全員",HomeStaff=tblCases[[#This Row],[社内担当]]),1,0)</f>
        <v>1</v>
      </c>
      <c r="AQ34" s="61">
        <f>IF(AND(tblCases[[#This Row],[進行中]]=1,tblCases[[#This Row],[次回期限値]]=0,tblCases[[#This Row],[担当一致]]=1),1,0)</f>
        <v>0</v>
      </c>
      <c r="AR34" s="61">
        <f>INT(N(tblCases[[#This Row],[最新接点値]]))*100000+N(tblCases[[#This Row],[ID番号]])</f>
        <v>0</v>
      </c>
      <c r="AS34" s="61" t="str">
        <f>IF(tblCases[[#This Row],[未設定対象]]=1,COUNTIFS(tblCases[未設定対象],1,tblCases[並びキー],"&lt;"&amp;tblCases[[#This Row],[並びキー]])+1,"")</f>
        <v/>
      </c>
      <c r="AT34" s="61" t="str">
        <f>IFERROR(VALUE(MID(tblCases[[#This Row],[案件ID]],2,20)),"")</f>
        <v/>
      </c>
    </row>
    <row r="35">
      <c r="A35" s="49" t="n"/>
      <c r="B35" s="49" t="n"/>
      <c r="C35" s="50" t="str">
        <f>IF(tblCases[[#This Row],[顧客ID]]="","",IFERROR(INDEX(tblCustomers[会社名],MATCH(tblCases[[#This Row],[顧客ID]],tblCustomers[顧客ID],0))&amp;"","（未登録の顧客ID）"))</f>
        <v/>
      </c>
      <c r="D35" s="51" t="n"/>
      <c r="E35" s="52" t="n"/>
      <c r="F35" s="52" t="n"/>
      <c r="G35" s="52" t="n"/>
      <c r="H3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5" s="53" t="str">
        <f>IF(tblCases[[#This Row],[案件ID]]="","",IF(tblCases[[#This Row],[最新会話値]]=0,"なし",tblCases[[#This Row],[最新会話値]]))</f>
        <v/>
      </c>
      <c r="J35" s="53" t="str">
        <f>IF(tblCases[[#This Row],[案件ID]]="","",IF(tblCases[[#This Row],[最新接点値]]=0,"履歴なし",tblCases[[#This Row],[最新接点値]]))</f>
        <v/>
      </c>
      <c r="K35" s="54" t="str">
        <f>IF(OR(tblCases[[#This Row],[案件ID]]="",tblCases[[#This Row],[最新接点値]]=0),"",RefDate-INT(tblCases[[#This Row],[最新接点値]]))</f>
        <v/>
      </c>
      <c r="L3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5" s="55" t="str">
        <f>IF(tblCases[[#This Row],[次回行]]="","",INDEX(tblTasks[担当者],tblCases[[#This Row],[次回行]])&amp;"")</f>
        <v/>
      </c>
      <c r="N35" s="56" t="str">
        <f>IF(tblCases[[#This Row],[次回行]]="","",tblCases[[#This Row],[次回期限値]])</f>
        <v/>
      </c>
      <c r="O3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5" s="49" t="n"/>
      <c r="Q35" s="57" t="str">
        <f>IF(tblCases[[#This Row],[顧客側担当者ID]]="","",IFERROR(INDEX(tblContacts[氏名],MATCH(tblCases[[#This Row],[顧客側担当者ID]],tblContacts[担当者ID],0))&amp;"","（未登録のID）"))</f>
        <v/>
      </c>
      <c r="R35" s="49" t="n"/>
      <c r="S35" s="58" t="n"/>
      <c r="T35" s="59" t="n"/>
      <c r="U35" s="60" t="n"/>
      <c r="V35" s="60" t="n"/>
      <c r="W35" s="51" t="n"/>
      <c r="X35" s="51" t="n"/>
      <c r="Y35" s="51" t="n"/>
      <c r="Z35" s="51" t="n"/>
      <c r="AA3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5" s="61" t="str">
        <f>IF(tblCases[[#This Row],[営業段階]]="","",IFERROR(INDEX(lst_StageKind,MATCH(tblCases[[#This Row],[営業段階]],lst_Stage,0))&amp;"","候補外"))</f>
        <v/>
      </c>
      <c r="AC35" s="61" t="str">
        <f>IF(tblCases[[#This Row],[追客状態]]="","",IFERROR(INDEX(lst_StatusKind,MATCH(tblCases[[#This Row],[追客状態]],lst_Status,0))&amp;"","候補外"))</f>
        <v/>
      </c>
      <c r="AD3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5" s="61">
        <f>IF(AND(tblCases[[#This Row],[案件ID]]&lt;&gt;"",OR(tblCases[[#This Row],[状態区分]]="進行",tblCases[[#This Row],[状態区分]]="待機")),1,0)</f>
        <v>0</v>
      </c>
      <c r="AG35" s="62">
        <f>IF(tblCases[[#This Row],[案件ID]]="",0,_xlfn.MAXIFS(tblHistory[実施日時],tblHistory[案件ID],tblCases[[#This Row],[案件ID]],tblHistory[集計対象],1))</f>
        <v>0.0</v>
      </c>
      <c r="AH35" s="62">
        <f>IF(tblCases[[#This Row],[案件ID]]="",0,_xlfn.MAXIFS(tblHistory[実施日時],tblHistory[案件ID],tblCases[[#This Row],[案件ID]],tblHistory[集計対象],1,tblHistory[実接点],1))</f>
        <v>0.0</v>
      </c>
      <c r="AI35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5" s="61" t="str">
        <f>IF(N(tblCases[[#This Row],[最新ID番号]])=0,"",IFERROR(MATCH(tblCases[[#This Row],[案件ID]]&amp;"|"&amp;tblCases[[#This Row],[最新ID番号]],tblHistory[照合キー],0),""))</f>
        <v/>
      </c>
      <c r="AK35" s="63">
        <f>IF(tblCases[[#This Row],[案件ID]]="",0,_xlfn.MINIFS(tblTasks[期限日],tblTasks[案件ID],tblCases[[#This Row],[案件ID]],tblTasks[次回候補],1))</f>
        <v>0.0</v>
      </c>
      <c r="AL35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5" s="61" t="str">
        <f>IF(N(tblCases[[#This Row],[次回ID番号]])=0,"",IFERROR(MATCH(tblCases[[#This Row],[案件ID]]&amp;"|"&amp;tblCases[[#This Row],[次回ID番号]],tblTasks[照合キー],0),""))</f>
        <v/>
      </c>
      <c r="AN35" s="61">
        <f>IF(tblCases[[#This Row],[案件ID]]="",0,COUNTIFS(tblTasks[案件ID],tblCases[[#This Row],[案件ID]],tblTasks[表示区分],"期限未設定"))</f>
        <v>0</v>
      </c>
      <c r="AO35" s="61">
        <f>IF(tblCases[[#This Row],[案件ID]]="",0,COUNTIFS(tblTasks[案件ID],tblCases[[#This Row],[案件ID]],tblTasks[未完了],1,tblTasks[区分],"社内確認"))</f>
        <v>0</v>
      </c>
      <c r="AP35" s="61">
        <f>IF(OR(HomeStaff="",HomeStaff="全員",HomeStaff=tblCases[[#This Row],[社内担当]]),1,0)</f>
        <v>1</v>
      </c>
      <c r="AQ35" s="61">
        <f>IF(AND(tblCases[[#This Row],[進行中]]=1,tblCases[[#This Row],[次回期限値]]=0,tblCases[[#This Row],[担当一致]]=1),1,0)</f>
        <v>0</v>
      </c>
      <c r="AR35" s="61">
        <f>INT(N(tblCases[[#This Row],[最新接点値]]))*100000+N(tblCases[[#This Row],[ID番号]])</f>
        <v>0</v>
      </c>
      <c r="AS35" s="61" t="str">
        <f>IF(tblCases[[#This Row],[未設定対象]]=1,COUNTIFS(tblCases[未設定対象],1,tblCases[並びキー],"&lt;"&amp;tblCases[[#This Row],[並びキー]])+1,"")</f>
        <v/>
      </c>
      <c r="AT35" s="61" t="str">
        <f>IFERROR(VALUE(MID(tblCases[[#This Row],[案件ID]],2,20)),"")</f>
        <v/>
      </c>
    </row>
    <row r="36">
      <c r="A36" s="49" t="n"/>
      <c r="B36" s="49" t="n"/>
      <c r="C36" s="50" t="str">
        <f>IF(tblCases[[#This Row],[顧客ID]]="","",IFERROR(INDEX(tblCustomers[会社名],MATCH(tblCases[[#This Row],[顧客ID]],tblCustomers[顧客ID],0))&amp;"","（未登録の顧客ID）"))</f>
        <v/>
      </c>
      <c r="D36" s="51" t="n"/>
      <c r="E36" s="52" t="n"/>
      <c r="F36" s="52" t="n"/>
      <c r="G36" s="52" t="n"/>
      <c r="H3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6" s="53" t="str">
        <f>IF(tblCases[[#This Row],[案件ID]]="","",IF(tblCases[[#This Row],[最新会話値]]=0,"なし",tblCases[[#This Row],[最新会話値]]))</f>
        <v/>
      </c>
      <c r="J36" s="53" t="str">
        <f>IF(tblCases[[#This Row],[案件ID]]="","",IF(tblCases[[#This Row],[最新接点値]]=0,"履歴なし",tblCases[[#This Row],[最新接点値]]))</f>
        <v/>
      </c>
      <c r="K36" s="54" t="str">
        <f>IF(OR(tblCases[[#This Row],[案件ID]]="",tblCases[[#This Row],[最新接点値]]=0),"",RefDate-INT(tblCases[[#This Row],[最新接点値]]))</f>
        <v/>
      </c>
      <c r="L3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6" s="55" t="str">
        <f>IF(tblCases[[#This Row],[次回行]]="","",INDEX(tblTasks[担当者],tblCases[[#This Row],[次回行]])&amp;"")</f>
        <v/>
      </c>
      <c r="N36" s="56" t="str">
        <f>IF(tblCases[[#This Row],[次回行]]="","",tblCases[[#This Row],[次回期限値]])</f>
        <v/>
      </c>
      <c r="O3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6" s="49" t="n"/>
      <c r="Q36" s="57" t="str">
        <f>IF(tblCases[[#This Row],[顧客側担当者ID]]="","",IFERROR(INDEX(tblContacts[氏名],MATCH(tblCases[[#This Row],[顧客側担当者ID]],tblContacts[担当者ID],0))&amp;"","（未登録のID）"))</f>
        <v/>
      </c>
      <c r="R36" s="49" t="n"/>
      <c r="S36" s="58" t="n"/>
      <c r="T36" s="59" t="n"/>
      <c r="U36" s="60" t="n"/>
      <c r="V36" s="60" t="n"/>
      <c r="W36" s="51" t="n"/>
      <c r="X36" s="51" t="n"/>
      <c r="Y36" s="51" t="n"/>
      <c r="Z36" s="51" t="n"/>
      <c r="AA3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6" s="61" t="str">
        <f>IF(tblCases[[#This Row],[営業段階]]="","",IFERROR(INDEX(lst_StageKind,MATCH(tblCases[[#This Row],[営業段階]],lst_Stage,0))&amp;"","候補外"))</f>
        <v/>
      </c>
      <c r="AC36" s="61" t="str">
        <f>IF(tblCases[[#This Row],[追客状態]]="","",IFERROR(INDEX(lst_StatusKind,MATCH(tblCases[[#This Row],[追客状態]],lst_Status,0))&amp;"","候補外"))</f>
        <v/>
      </c>
      <c r="AD3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6" s="61">
        <f>IF(AND(tblCases[[#This Row],[案件ID]]&lt;&gt;"",OR(tblCases[[#This Row],[状態区分]]="進行",tblCases[[#This Row],[状態区分]]="待機")),1,0)</f>
        <v>0</v>
      </c>
      <c r="AG36" s="62">
        <f>IF(tblCases[[#This Row],[案件ID]]="",0,_xlfn.MAXIFS(tblHistory[実施日時],tblHistory[案件ID],tblCases[[#This Row],[案件ID]],tblHistory[集計対象],1))</f>
        <v>0.0</v>
      </c>
      <c r="AH36" s="62">
        <f>IF(tblCases[[#This Row],[案件ID]]="",0,_xlfn.MAXIFS(tblHistory[実施日時],tblHistory[案件ID],tblCases[[#This Row],[案件ID]],tblHistory[集計対象],1,tblHistory[実接点],1))</f>
        <v>0.0</v>
      </c>
      <c r="AI3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6" s="61" t="str">
        <f>IF(N(tblCases[[#This Row],[最新ID番号]])=0,"",IFERROR(MATCH(tblCases[[#This Row],[案件ID]]&amp;"|"&amp;tblCases[[#This Row],[最新ID番号]],tblHistory[照合キー],0),""))</f>
        <v/>
      </c>
      <c r="AK36" s="63">
        <f>IF(tblCases[[#This Row],[案件ID]]="",0,_xlfn.MINIFS(tblTasks[期限日],tblTasks[案件ID],tblCases[[#This Row],[案件ID]],tblTasks[次回候補],1))</f>
        <v>0.0</v>
      </c>
      <c r="AL36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6" s="61" t="str">
        <f>IF(N(tblCases[[#This Row],[次回ID番号]])=0,"",IFERROR(MATCH(tblCases[[#This Row],[案件ID]]&amp;"|"&amp;tblCases[[#This Row],[次回ID番号]],tblTasks[照合キー],0),""))</f>
        <v/>
      </c>
      <c r="AN36" s="61">
        <f>IF(tblCases[[#This Row],[案件ID]]="",0,COUNTIFS(tblTasks[案件ID],tblCases[[#This Row],[案件ID]],tblTasks[表示区分],"期限未設定"))</f>
        <v>0</v>
      </c>
      <c r="AO36" s="61">
        <f>IF(tblCases[[#This Row],[案件ID]]="",0,COUNTIFS(tblTasks[案件ID],tblCases[[#This Row],[案件ID]],tblTasks[未完了],1,tblTasks[区分],"社内確認"))</f>
        <v>0</v>
      </c>
      <c r="AP36" s="61">
        <f>IF(OR(HomeStaff="",HomeStaff="全員",HomeStaff=tblCases[[#This Row],[社内担当]]),1,0)</f>
        <v>1</v>
      </c>
      <c r="AQ36" s="61">
        <f>IF(AND(tblCases[[#This Row],[進行中]]=1,tblCases[[#This Row],[次回期限値]]=0,tblCases[[#This Row],[担当一致]]=1),1,0)</f>
        <v>0</v>
      </c>
      <c r="AR36" s="61">
        <f>INT(N(tblCases[[#This Row],[最新接点値]]))*100000+N(tblCases[[#This Row],[ID番号]])</f>
        <v>0</v>
      </c>
      <c r="AS36" s="61" t="str">
        <f>IF(tblCases[[#This Row],[未設定対象]]=1,COUNTIFS(tblCases[未設定対象],1,tblCases[並びキー],"&lt;"&amp;tblCases[[#This Row],[並びキー]])+1,"")</f>
        <v/>
      </c>
      <c r="AT36" s="61" t="str">
        <f>IFERROR(VALUE(MID(tblCases[[#This Row],[案件ID]],2,20)),"")</f>
        <v/>
      </c>
    </row>
    <row r="37">
      <c r="A37" s="49" t="n"/>
      <c r="B37" s="49" t="n"/>
      <c r="C37" s="50" t="str">
        <f>IF(tblCases[[#This Row],[顧客ID]]="","",IFERROR(INDEX(tblCustomers[会社名],MATCH(tblCases[[#This Row],[顧客ID]],tblCustomers[顧客ID],0))&amp;"","（未登録の顧客ID）"))</f>
        <v/>
      </c>
      <c r="D37" s="51" t="n"/>
      <c r="E37" s="52" t="n"/>
      <c r="F37" s="52" t="n"/>
      <c r="G37" s="52" t="n"/>
      <c r="H3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7" s="53" t="str">
        <f>IF(tblCases[[#This Row],[案件ID]]="","",IF(tblCases[[#This Row],[最新会話値]]=0,"なし",tblCases[[#This Row],[最新会話値]]))</f>
        <v/>
      </c>
      <c r="J37" s="53" t="str">
        <f>IF(tblCases[[#This Row],[案件ID]]="","",IF(tblCases[[#This Row],[最新接点値]]=0,"履歴なし",tblCases[[#This Row],[最新接点値]]))</f>
        <v/>
      </c>
      <c r="K37" s="54" t="str">
        <f>IF(OR(tblCases[[#This Row],[案件ID]]="",tblCases[[#This Row],[最新接点値]]=0),"",RefDate-INT(tblCases[[#This Row],[最新接点値]]))</f>
        <v/>
      </c>
      <c r="L3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7" s="55" t="str">
        <f>IF(tblCases[[#This Row],[次回行]]="","",INDEX(tblTasks[担当者],tblCases[[#This Row],[次回行]])&amp;"")</f>
        <v/>
      </c>
      <c r="N37" s="56" t="str">
        <f>IF(tblCases[[#This Row],[次回行]]="","",tblCases[[#This Row],[次回期限値]])</f>
        <v/>
      </c>
      <c r="O3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7" s="49" t="n"/>
      <c r="Q37" s="57" t="str">
        <f>IF(tblCases[[#This Row],[顧客側担当者ID]]="","",IFERROR(INDEX(tblContacts[氏名],MATCH(tblCases[[#This Row],[顧客側担当者ID]],tblContacts[担当者ID],0))&amp;"","（未登録のID）"))</f>
        <v/>
      </c>
      <c r="R37" s="49" t="n"/>
      <c r="S37" s="58" t="n"/>
      <c r="T37" s="59" t="n"/>
      <c r="U37" s="60" t="n"/>
      <c r="V37" s="60" t="n"/>
      <c r="W37" s="51" t="n"/>
      <c r="X37" s="51" t="n"/>
      <c r="Y37" s="51" t="n"/>
      <c r="Z37" s="51" t="n"/>
      <c r="AA3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7" s="61" t="str">
        <f>IF(tblCases[[#This Row],[営業段階]]="","",IFERROR(INDEX(lst_StageKind,MATCH(tblCases[[#This Row],[営業段階]],lst_Stage,0))&amp;"","候補外"))</f>
        <v/>
      </c>
      <c r="AC37" s="61" t="str">
        <f>IF(tblCases[[#This Row],[追客状態]]="","",IFERROR(INDEX(lst_StatusKind,MATCH(tblCases[[#This Row],[追客状態]],lst_Status,0))&amp;"","候補外"))</f>
        <v/>
      </c>
      <c r="AD3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7" s="61">
        <f>IF(AND(tblCases[[#This Row],[案件ID]]&lt;&gt;"",OR(tblCases[[#This Row],[状態区分]]="進行",tblCases[[#This Row],[状態区分]]="待機")),1,0)</f>
        <v>0</v>
      </c>
      <c r="AG37" s="62">
        <f>IF(tblCases[[#This Row],[案件ID]]="",0,_xlfn.MAXIFS(tblHistory[実施日時],tblHistory[案件ID],tblCases[[#This Row],[案件ID]],tblHistory[集計対象],1))</f>
        <v>0.0</v>
      </c>
      <c r="AH37" s="62">
        <f>IF(tblCases[[#This Row],[案件ID]]="",0,_xlfn.MAXIFS(tblHistory[実施日時],tblHistory[案件ID],tblCases[[#This Row],[案件ID]],tblHistory[集計対象],1,tblHistory[実接点],1))</f>
        <v>0.0</v>
      </c>
      <c r="AI37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7" s="61" t="str">
        <f>IF(N(tblCases[[#This Row],[最新ID番号]])=0,"",IFERROR(MATCH(tblCases[[#This Row],[案件ID]]&amp;"|"&amp;tblCases[[#This Row],[最新ID番号]],tblHistory[照合キー],0),""))</f>
        <v/>
      </c>
      <c r="AK37" s="63">
        <f>IF(tblCases[[#This Row],[案件ID]]="",0,_xlfn.MINIFS(tblTasks[期限日],tblTasks[案件ID],tblCases[[#This Row],[案件ID]],tblTasks[次回候補],1))</f>
        <v>0.0</v>
      </c>
      <c r="AL37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7" s="61" t="str">
        <f>IF(N(tblCases[[#This Row],[次回ID番号]])=0,"",IFERROR(MATCH(tblCases[[#This Row],[案件ID]]&amp;"|"&amp;tblCases[[#This Row],[次回ID番号]],tblTasks[照合キー],0),""))</f>
        <v/>
      </c>
      <c r="AN37" s="61">
        <f>IF(tblCases[[#This Row],[案件ID]]="",0,COUNTIFS(tblTasks[案件ID],tblCases[[#This Row],[案件ID]],tblTasks[表示区分],"期限未設定"))</f>
        <v>0</v>
      </c>
      <c r="AO37" s="61">
        <f>IF(tblCases[[#This Row],[案件ID]]="",0,COUNTIFS(tblTasks[案件ID],tblCases[[#This Row],[案件ID]],tblTasks[未完了],1,tblTasks[区分],"社内確認"))</f>
        <v>0</v>
      </c>
      <c r="AP37" s="61">
        <f>IF(OR(HomeStaff="",HomeStaff="全員",HomeStaff=tblCases[[#This Row],[社内担当]]),1,0)</f>
        <v>1</v>
      </c>
      <c r="AQ37" s="61">
        <f>IF(AND(tblCases[[#This Row],[進行中]]=1,tblCases[[#This Row],[次回期限値]]=0,tblCases[[#This Row],[担当一致]]=1),1,0)</f>
        <v>0</v>
      </c>
      <c r="AR37" s="61">
        <f>INT(N(tblCases[[#This Row],[最新接点値]]))*100000+N(tblCases[[#This Row],[ID番号]])</f>
        <v>0</v>
      </c>
      <c r="AS37" s="61" t="str">
        <f>IF(tblCases[[#This Row],[未設定対象]]=1,COUNTIFS(tblCases[未設定対象],1,tblCases[並びキー],"&lt;"&amp;tblCases[[#This Row],[並びキー]])+1,"")</f>
        <v/>
      </c>
      <c r="AT37" s="61" t="str">
        <f>IFERROR(VALUE(MID(tblCases[[#This Row],[案件ID]],2,20)),"")</f>
        <v/>
      </c>
    </row>
    <row r="38">
      <c r="A38" s="49" t="n"/>
      <c r="B38" s="49" t="n"/>
      <c r="C38" s="50" t="str">
        <f>IF(tblCases[[#This Row],[顧客ID]]="","",IFERROR(INDEX(tblCustomers[会社名],MATCH(tblCases[[#This Row],[顧客ID]],tblCustomers[顧客ID],0))&amp;"","（未登録の顧客ID）"))</f>
        <v/>
      </c>
      <c r="D38" s="51" t="n"/>
      <c r="E38" s="52" t="n"/>
      <c r="F38" s="52" t="n"/>
      <c r="G38" s="52" t="n"/>
      <c r="H3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8" s="53" t="str">
        <f>IF(tblCases[[#This Row],[案件ID]]="","",IF(tblCases[[#This Row],[最新会話値]]=0,"なし",tblCases[[#This Row],[最新会話値]]))</f>
        <v/>
      </c>
      <c r="J38" s="53" t="str">
        <f>IF(tblCases[[#This Row],[案件ID]]="","",IF(tblCases[[#This Row],[最新接点値]]=0,"履歴なし",tblCases[[#This Row],[最新接点値]]))</f>
        <v/>
      </c>
      <c r="K38" s="54" t="str">
        <f>IF(OR(tblCases[[#This Row],[案件ID]]="",tblCases[[#This Row],[最新接点値]]=0),"",RefDate-INT(tblCases[[#This Row],[最新接点値]]))</f>
        <v/>
      </c>
      <c r="L3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8" s="55" t="str">
        <f>IF(tblCases[[#This Row],[次回行]]="","",INDEX(tblTasks[担当者],tblCases[[#This Row],[次回行]])&amp;"")</f>
        <v/>
      </c>
      <c r="N38" s="56" t="str">
        <f>IF(tblCases[[#This Row],[次回行]]="","",tblCases[[#This Row],[次回期限値]])</f>
        <v/>
      </c>
      <c r="O3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8" s="49" t="n"/>
      <c r="Q38" s="57" t="str">
        <f>IF(tblCases[[#This Row],[顧客側担当者ID]]="","",IFERROR(INDEX(tblContacts[氏名],MATCH(tblCases[[#This Row],[顧客側担当者ID]],tblContacts[担当者ID],0))&amp;"","（未登録のID）"))</f>
        <v/>
      </c>
      <c r="R38" s="49" t="n"/>
      <c r="S38" s="58" t="n"/>
      <c r="T38" s="59" t="n"/>
      <c r="U38" s="60" t="n"/>
      <c r="V38" s="60" t="n"/>
      <c r="W38" s="51" t="n"/>
      <c r="X38" s="51" t="n"/>
      <c r="Y38" s="51" t="n"/>
      <c r="Z38" s="51" t="n"/>
      <c r="AA3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8" s="61" t="str">
        <f>IF(tblCases[[#This Row],[営業段階]]="","",IFERROR(INDEX(lst_StageKind,MATCH(tblCases[[#This Row],[営業段階]],lst_Stage,0))&amp;"","候補外"))</f>
        <v/>
      </c>
      <c r="AC38" s="61" t="str">
        <f>IF(tblCases[[#This Row],[追客状態]]="","",IFERROR(INDEX(lst_StatusKind,MATCH(tblCases[[#This Row],[追客状態]],lst_Status,0))&amp;"","候補外"))</f>
        <v/>
      </c>
      <c r="AD3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8" s="61">
        <f>IF(AND(tblCases[[#This Row],[案件ID]]&lt;&gt;"",OR(tblCases[[#This Row],[状態区分]]="進行",tblCases[[#This Row],[状態区分]]="待機")),1,0)</f>
        <v>0</v>
      </c>
      <c r="AG38" s="62">
        <f>IF(tblCases[[#This Row],[案件ID]]="",0,_xlfn.MAXIFS(tblHistory[実施日時],tblHistory[案件ID],tblCases[[#This Row],[案件ID]],tblHistory[集計対象],1))</f>
        <v>0.0</v>
      </c>
      <c r="AH38" s="62">
        <f>IF(tblCases[[#This Row],[案件ID]]="",0,_xlfn.MAXIFS(tblHistory[実施日時],tblHistory[案件ID],tblCases[[#This Row],[案件ID]],tblHistory[集計対象],1,tblHistory[実接点],1))</f>
        <v>0.0</v>
      </c>
      <c r="AI38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8" s="61" t="str">
        <f>IF(N(tblCases[[#This Row],[最新ID番号]])=0,"",IFERROR(MATCH(tblCases[[#This Row],[案件ID]]&amp;"|"&amp;tblCases[[#This Row],[最新ID番号]],tblHistory[照合キー],0),""))</f>
        <v/>
      </c>
      <c r="AK38" s="63">
        <f>IF(tblCases[[#This Row],[案件ID]]="",0,_xlfn.MINIFS(tblTasks[期限日],tblTasks[案件ID],tblCases[[#This Row],[案件ID]],tblTasks[次回候補],1))</f>
        <v>0.0</v>
      </c>
      <c r="AL38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8" s="61" t="str">
        <f>IF(N(tblCases[[#This Row],[次回ID番号]])=0,"",IFERROR(MATCH(tblCases[[#This Row],[案件ID]]&amp;"|"&amp;tblCases[[#This Row],[次回ID番号]],tblTasks[照合キー],0),""))</f>
        <v/>
      </c>
      <c r="AN38" s="61">
        <f>IF(tblCases[[#This Row],[案件ID]]="",0,COUNTIFS(tblTasks[案件ID],tblCases[[#This Row],[案件ID]],tblTasks[表示区分],"期限未設定"))</f>
        <v>0</v>
      </c>
      <c r="AO38" s="61">
        <f>IF(tblCases[[#This Row],[案件ID]]="",0,COUNTIFS(tblTasks[案件ID],tblCases[[#This Row],[案件ID]],tblTasks[未完了],1,tblTasks[区分],"社内確認"))</f>
        <v>0</v>
      </c>
      <c r="AP38" s="61">
        <f>IF(OR(HomeStaff="",HomeStaff="全員",HomeStaff=tblCases[[#This Row],[社内担当]]),1,0)</f>
        <v>1</v>
      </c>
      <c r="AQ38" s="61">
        <f>IF(AND(tblCases[[#This Row],[進行中]]=1,tblCases[[#This Row],[次回期限値]]=0,tblCases[[#This Row],[担当一致]]=1),1,0)</f>
        <v>0</v>
      </c>
      <c r="AR38" s="61">
        <f>INT(N(tblCases[[#This Row],[最新接点値]]))*100000+N(tblCases[[#This Row],[ID番号]])</f>
        <v>0</v>
      </c>
      <c r="AS38" s="61" t="str">
        <f>IF(tblCases[[#This Row],[未設定対象]]=1,COUNTIFS(tblCases[未設定対象],1,tblCases[並びキー],"&lt;"&amp;tblCases[[#This Row],[並びキー]])+1,"")</f>
        <v/>
      </c>
      <c r="AT38" s="61" t="str">
        <f>IFERROR(VALUE(MID(tblCases[[#This Row],[案件ID]],2,20)),"")</f>
        <v/>
      </c>
    </row>
    <row r="39">
      <c r="A39" s="49" t="n"/>
      <c r="B39" s="49" t="n"/>
      <c r="C39" s="50" t="str">
        <f>IF(tblCases[[#This Row],[顧客ID]]="","",IFERROR(INDEX(tblCustomers[会社名],MATCH(tblCases[[#This Row],[顧客ID]],tblCustomers[顧客ID],0))&amp;"","（未登録の顧客ID）"))</f>
        <v/>
      </c>
      <c r="D39" s="51" t="n"/>
      <c r="E39" s="52" t="n"/>
      <c r="F39" s="52" t="n"/>
      <c r="G39" s="52" t="n"/>
      <c r="H3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39" s="53" t="str">
        <f>IF(tblCases[[#This Row],[案件ID]]="","",IF(tblCases[[#This Row],[最新会話値]]=0,"なし",tblCases[[#This Row],[最新会話値]]))</f>
        <v/>
      </c>
      <c r="J39" s="53" t="str">
        <f>IF(tblCases[[#This Row],[案件ID]]="","",IF(tblCases[[#This Row],[最新接点値]]=0,"履歴なし",tblCases[[#This Row],[最新接点値]]))</f>
        <v/>
      </c>
      <c r="K39" s="54" t="str">
        <f>IF(OR(tblCases[[#This Row],[案件ID]]="",tblCases[[#This Row],[最新接点値]]=0),"",RefDate-INT(tblCases[[#This Row],[最新接点値]]))</f>
        <v/>
      </c>
      <c r="L3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39" s="55" t="str">
        <f>IF(tblCases[[#This Row],[次回行]]="","",INDEX(tblTasks[担当者],tblCases[[#This Row],[次回行]])&amp;"")</f>
        <v/>
      </c>
      <c r="N39" s="56" t="str">
        <f>IF(tblCases[[#This Row],[次回行]]="","",tblCases[[#This Row],[次回期限値]])</f>
        <v/>
      </c>
      <c r="O3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39" s="49" t="n"/>
      <c r="Q39" s="57" t="str">
        <f>IF(tblCases[[#This Row],[顧客側担当者ID]]="","",IFERROR(INDEX(tblContacts[氏名],MATCH(tblCases[[#This Row],[顧客側担当者ID]],tblContacts[担当者ID],0))&amp;"","（未登録のID）"))</f>
        <v/>
      </c>
      <c r="R39" s="49" t="n"/>
      <c r="S39" s="58" t="n"/>
      <c r="T39" s="59" t="n"/>
      <c r="U39" s="60" t="n"/>
      <c r="V39" s="60" t="n"/>
      <c r="W39" s="51" t="n"/>
      <c r="X39" s="51" t="n"/>
      <c r="Y39" s="51" t="n"/>
      <c r="Z39" s="51" t="n"/>
      <c r="AA3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39" s="61" t="str">
        <f>IF(tblCases[[#This Row],[営業段階]]="","",IFERROR(INDEX(lst_StageKind,MATCH(tblCases[[#This Row],[営業段階]],lst_Stage,0))&amp;"","候補外"))</f>
        <v/>
      </c>
      <c r="AC39" s="61" t="str">
        <f>IF(tblCases[[#This Row],[追客状態]]="","",IFERROR(INDEX(lst_StatusKind,MATCH(tblCases[[#This Row],[追客状態]],lst_Status,0))&amp;"","候補外"))</f>
        <v/>
      </c>
      <c r="AD3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3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39" s="61">
        <f>IF(AND(tblCases[[#This Row],[案件ID]]&lt;&gt;"",OR(tblCases[[#This Row],[状態区分]]="進行",tblCases[[#This Row],[状態区分]]="待機")),1,0)</f>
        <v>0</v>
      </c>
      <c r="AG39" s="62">
        <f>IF(tblCases[[#This Row],[案件ID]]="",0,_xlfn.MAXIFS(tblHistory[実施日時],tblHistory[案件ID],tblCases[[#This Row],[案件ID]],tblHistory[集計対象],1))</f>
        <v>0.0</v>
      </c>
      <c r="AH39" s="62">
        <f>IF(tblCases[[#This Row],[案件ID]]="",0,_xlfn.MAXIFS(tblHistory[実施日時],tblHistory[案件ID],tblCases[[#This Row],[案件ID]],tblHistory[集計対象],1,tblHistory[実接点],1))</f>
        <v>0.0</v>
      </c>
      <c r="AI39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39" s="61" t="str">
        <f>IF(N(tblCases[[#This Row],[最新ID番号]])=0,"",IFERROR(MATCH(tblCases[[#This Row],[案件ID]]&amp;"|"&amp;tblCases[[#This Row],[最新ID番号]],tblHistory[照合キー],0),""))</f>
        <v/>
      </c>
      <c r="AK39" s="63">
        <f>IF(tblCases[[#This Row],[案件ID]]="",0,_xlfn.MINIFS(tblTasks[期限日],tblTasks[案件ID],tblCases[[#This Row],[案件ID]],tblTasks[次回候補],1))</f>
        <v>0.0</v>
      </c>
      <c r="AL39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39" s="61" t="str">
        <f>IF(N(tblCases[[#This Row],[次回ID番号]])=0,"",IFERROR(MATCH(tblCases[[#This Row],[案件ID]]&amp;"|"&amp;tblCases[[#This Row],[次回ID番号]],tblTasks[照合キー],0),""))</f>
        <v/>
      </c>
      <c r="AN39" s="61">
        <f>IF(tblCases[[#This Row],[案件ID]]="",0,COUNTIFS(tblTasks[案件ID],tblCases[[#This Row],[案件ID]],tblTasks[表示区分],"期限未設定"))</f>
        <v>0</v>
      </c>
      <c r="AO39" s="61">
        <f>IF(tblCases[[#This Row],[案件ID]]="",0,COUNTIFS(tblTasks[案件ID],tblCases[[#This Row],[案件ID]],tblTasks[未完了],1,tblTasks[区分],"社内確認"))</f>
        <v>0</v>
      </c>
      <c r="AP39" s="61">
        <f>IF(OR(HomeStaff="",HomeStaff="全員",HomeStaff=tblCases[[#This Row],[社内担当]]),1,0)</f>
        <v>1</v>
      </c>
      <c r="AQ39" s="61">
        <f>IF(AND(tblCases[[#This Row],[進行中]]=1,tblCases[[#This Row],[次回期限値]]=0,tblCases[[#This Row],[担当一致]]=1),1,0)</f>
        <v>0</v>
      </c>
      <c r="AR39" s="61">
        <f>INT(N(tblCases[[#This Row],[最新接点値]]))*100000+N(tblCases[[#This Row],[ID番号]])</f>
        <v>0</v>
      </c>
      <c r="AS39" s="61" t="str">
        <f>IF(tblCases[[#This Row],[未設定対象]]=1,COUNTIFS(tblCases[未設定対象],1,tblCases[並びキー],"&lt;"&amp;tblCases[[#This Row],[並びキー]])+1,"")</f>
        <v/>
      </c>
      <c r="AT39" s="61" t="str">
        <f>IFERROR(VALUE(MID(tblCases[[#This Row],[案件ID]],2,20)),"")</f>
        <v/>
      </c>
    </row>
    <row r="40">
      <c r="A40" s="49" t="n"/>
      <c r="B40" s="49" t="n"/>
      <c r="C40" s="50" t="str">
        <f>IF(tblCases[[#This Row],[顧客ID]]="","",IFERROR(INDEX(tblCustomers[会社名],MATCH(tblCases[[#This Row],[顧客ID]],tblCustomers[顧客ID],0))&amp;"","（未登録の顧客ID）"))</f>
        <v/>
      </c>
      <c r="D40" s="51" t="n"/>
      <c r="E40" s="52" t="n"/>
      <c r="F40" s="52" t="n"/>
      <c r="G40" s="52" t="n"/>
      <c r="H4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0" s="53" t="str">
        <f>IF(tblCases[[#This Row],[案件ID]]="","",IF(tblCases[[#This Row],[最新会話値]]=0,"なし",tblCases[[#This Row],[最新会話値]]))</f>
        <v/>
      </c>
      <c r="J40" s="53" t="str">
        <f>IF(tblCases[[#This Row],[案件ID]]="","",IF(tblCases[[#This Row],[最新接点値]]=0,"履歴なし",tblCases[[#This Row],[最新接点値]]))</f>
        <v/>
      </c>
      <c r="K40" s="54" t="str">
        <f>IF(OR(tblCases[[#This Row],[案件ID]]="",tblCases[[#This Row],[最新接点値]]=0),"",RefDate-INT(tblCases[[#This Row],[最新接点値]]))</f>
        <v/>
      </c>
      <c r="L4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0" s="55" t="str">
        <f>IF(tblCases[[#This Row],[次回行]]="","",INDEX(tblTasks[担当者],tblCases[[#This Row],[次回行]])&amp;"")</f>
        <v/>
      </c>
      <c r="N40" s="56" t="str">
        <f>IF(tblCases[[#This Row],[次回行]]="","",tblCases[[#This Row],[次回期限値]])</f>
        <v/>
      </c>
      <c r="O4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0" s="49" t="n"/>
      <c r="Q40" s="57" t="str">
        <f>IF(tblCases[[#This Row],[顧客側担当者ID]]="","",IFERROR(INDEX(tblContacts[氏名],MATCH(tblCases[[#This Row],[顧客側担当者ID]],tblContacts[担当者ID],0))&amp;"","（未登録のID）"))</f>
        <v/>
      </c>
      <c r="R40" s="49" t="n"/>
      <c r="S40" s="58" t="n"/>
      <c r="T40" s="59" t="n"/>
      <c r="U40" s="60" t="n"/>
      <c r="V40" s="60" t="n"/>
      <c r="W40" s="51" t="n"/>
      <c r="X40" s="51" t="n"/>
      <c r="Y40" s="51" t="n"/>
      <c r="Z40" s="51" t="n"/>
      <c r="AA4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0" s="61" t="str">
        <f>IF(tblCases[[#This Row],[営業段階]]="","",IFERROR(INDEX(lst_StageKind,MATCH(tblCases[[#This Row],[営業段階]],lst_Stage,0))&amp;"","候補外"))</f>
        <v/>
      </c>
      <c r="AC40" s="61" t="str">
        <f>IF(tblCases[[#This Row],[追客状態]]="","",IFERROR(INDEX(lst_StatusKind,MATCH(tblCases[[#This Row],[追客状態]],lst_Status,0))&amp;"","候補外"))</f>
        <v/>
      </c>
      <c r="AD4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0" s="61">
        <f>IF(AND(tblCases[[#This Row],[案件ID]]&lt;&gt;"",OR(tblCases[[#This Row],[状態区分]]="進行",tblCases[[#This Row],[状態区分]]="待機")),1,0)</f>
        <v>0</v>
      </c>
      <c r="AG40" s="62">
        <f>IF(tblCases[[#This Row],[案件ID]]="",0,_xlfn.MAXIFS(tblHistory[実施日時],tblHistory[案件ID],tblCases[[#This Row],[案件ID]],tblHistory[集計対象],1))</f>
        <v>0.0</v>
      </c>
      <c r="AH40" s="62">
        <f>IF(tblCases[[#This Row],[案件ID]]="",0,_xlfn.MAXIFS(tblHistory[実施日時],tblHistory[案件ID],tblCases[[#This Row],[案件ID]],tblHistory[集計対象],1,tblHistory[実接点],1))</f>
        <v>0.0</v>
      </c>
      <c r="AI40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0" s="61" t="str">
        <f>IF(N(tblCases[[#This Row],[最新ID番号]])=0,"",IFERROR(MATCH(tblCases[[#This Row],[案件ID]]&amp;"|"&amp;tblCases[[#This Row],[最新ID番号]],tblHistory[照合キー],0),""))</f>
        <v/>
      </c>
      <c r="AK40" s="63">
        <f>IF(tblCases[[#This Row],[案件ID]]="",0,_xlfn.MINIFS(tblTasks[期限日],tblTasks[案件ID],tblCases[[#This Row],[案件ID]],tblTasks[次回候補],1))</f>
        <v>0.0</v>
      </c>
      <c r="AL4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0" s="61" t="str">
        <f>IF(N(tblCases[[#This Row],[次回ID番号]])=0,"",IFERROR(MATCH(tblCases[[#This Row],[案件ID]]&amp;"|"&amp;tblCases[[#This Row],[次回ID番号]],tblTasks[照合キー],0),""))</f>
        <v/>
      </c>
      <c r="AN40" s="61">
        <f>IF(tblCases[[#This Row],[案件ID]]="",0,COUNTIFS(tblTasks[案件ID],tblCases[[#This Row],[案件ID]],tblTasks[表示区分],"期限未設定"))</f>
        <v>0</v>
      </c>
      <c r="AO40" s="61">
        <f>IF(tblCases[[#This Row],[案件ID]]="",0,COUNTIFS(tblTasks[案件ID],tblCases[[#This Row],[案件ID]],tblTasks[未完了],1,tblTasks[区分],"社内確認"))</f>
        <v>0</v>
      </c>
      <c r="AP40" s="61">
        <f>IF(OR(HomeStaff="",HomeStaff="全員",HomeStaff=tblCases[[#This Row],[社内担当]]),1,0)</f>
        <v>1</v>
      </c>
      <c r="AQ40" s="61">
        <f>IF(AND(tblCases[[#This Row],[進行中]]=1,tblCases[[#This Row],[次回期限値]]=0,tblCases[[#This Row],[担当一致]]=1),1,0)</f>
        <v>0</v>
      </c>
      <c r="AR40" s="61">
        <f>INT(N(tblCases[[#This Row],[最新接点値]]))*100000+N(tblCases[[#This Row],[ID番号]])</f>
        <v>0</v>
      </c>
      <c r="AS40" s="61" t="str">
        <f>IF(tblCases[[#This Row],[未設定対象]]=1,COUNTIFS(tblCases[未設定対象],1,tblCases[並びキー],"&lt;"&amp;tblCases[[#This Row],[並びキー]])+1,"")</f>
        <v/>
      </c>
      <c r="AT40" s="61" t="str">
        <f>IFERROR(VALUE(MID(tblCases[[#This Row],[案件ID]],2,20)),"")</f>
        <v/>
      </c>
    </row>
    <row r="41">
      <c r="A41" s="49" t="n"/>
      <c r="B41" s="49" t="n"/>
      <c r="C41" s="50" t="str">
        <f>IF(tblCases[[#This Row],[顧客ID]]="","",IFERROR(INDEX(tblCustomers[会社名],MATCH(tblCases[[#This Row],[顧客ID]],tblCustomers[顧客ID],0))&amp;"","（未登録の顧客ID）"))</f>
        <v/>
      </c>
      <c r="D41" s="51" t="n"/>
      <c r="E41" s="52" t="n"/>
      <c r="F41" s="52" t="n"/>
      <c r="G41" s="52" t="n"/>
      <c r="H4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1" s="53" t="str">
        <f>IF(tblCases[[#This Row],[案件ID]]="","",IF(tblCases[[#This Row],[最新会話値]]=0,"なし",tblCases[[#This Row],[最新会話値]]))</f>
        <v/>
      </c>
      <c r="J41" s="53" t="str">
        <f>IF(tblCases[[#This Row],[案件ID]]="","",IF(tblCases[[#This Row],[最新接点値]]=0,"履歴なし",tblCases[[#This Row],[最新接点値]]))</f>
        <v/>
      </c>
      <c r="K41" s="54" t="str">
        <f>IF(OR(tblCases[[#This Row],[案件ID]]="",tblCases[[#This Row],[最新接点値]]=0),"",RefDate-INT(tblCases[[#This Row],[最新接点値]]))</f>
        <v/>
      </c>
      <c r="L4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1" s="55" t="str">
        <f>IF(tblCases[[#This Row],[次回行]]="","",INDEX(tblTasks[担当者],tblCases[[#This Row],[次回行]])&amp;"")</f>
        <v/>
      </c>
      <c r="N41" s="56" t="str">
        <f>IF(tblCases[[#This Row],[次回行]]="","",tblCases[[#This Row],[次回期限値]])</f>
        <v/>
      </c>
      <c r="O4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1" s="49" t="n"/>
      <c r="Q41" s="57" t="str">
        <f>IF(tblCases[[#This Row],[顧客側担当者ID]]="","",IFERROR(INDEX(tblContacts[氏名],MATCH(tblCases[[#This Row],[顧客側担当者ID]],tblContacts[担当者ID],0))&amp;"","（未登録のID）"))</f>
        <v/>
      </c>
      <c r="R41" s="49" t="n"/>
      <c r="S41" s="58" t="n"/>
      <c r="T41" s="59" t="n"/>
      <c r="U41" s="60" t="n"/>
      <c r="V41" s="60" t="n"/>
      <c r="W41" s="51" t="n"/>
      <c r="X41" s="51" t="n"/>
      <c r="Y41" s="51" t="n"/>
      <c r="Z41" s="51" t="n"/>
      <c r="AA4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1" s="61" t="str">
        <f>IF(tblCases[[#This Row],[営業段階]]="","",IFERROR(INDEX(lst_StageKind,MATCH(tblCases[[#This Row],[営業段階]],lst_Stage,0))&amp;"","候補外"))</f>
        <v/>
      </c>
      <c r="AC41" s="61" t="str">
        <f>IF(tblCases[[#This Row],[追客状態]]="","",IFERROR(INDEX(lst_StatusKind,MATCH(tblCases[[#This Row],[追客状態]],lst_Status,0))&amp;"","候補外"))</f>
        <v/>
      </c>
      <c r="AD4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1" s="61">
        <f>IF(AND(tblCases[[#This Row],[案件ID]]&lt;&gt;"",OR(tblCases[[#This Row],[状態区分]]="進行",tblCases[[#This Row],[状態区分]]="待機")),1,0)</f>
        <v>0</v>
      </c>
      <c r="AG41" s="62">
        <f>IF(tblCases[[#This Row],[案件ID]]="",0,_xlfn.MAXIFS(tblHistory[実施日時],tblHistory[案件ID],tblCases[[#This Row],[案件ID]],tblHistory[集計対象],1))</f>
        <v>0.0</v>
      </c>
      <c r="AH41" s="62">
        <f>IF(tblCases[[#This Row],[案件ID]]="",0,_xlfn.MAXIFS(tblHistory[実施日時],tblHistory[案件ID],tblCases[[#This Row],[案件ID]],tblHistory[集計対象],1,tblHistory[実接点],1))</f>
        <v>0.0</v>
      </c>
      <c r="AI41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1" s="61" t="str">
        <f>IF(N(tblCases[[#This Row],[最新ID番号]])=0,"",IFERROR(MATCH(tblCases[[#This Row],[案件ID]]&amp;"|"&amp;tblCases[[#This Row],[最新ID番号]],tblHistory[照合キー],0),""))</f>
        <v/>
      </c>
      <c r="AK41" s="63">
        <f>IF(tblCases[[#This Row],[案件ID]]="",0,_xlfn.MINIFS(tblTasks[期限日],tblTasks[案件ID],tblCases[[#This Row],[案件ID]],tblTasks[次回候補],1))</f>
        <v>0.0</v>
      </c>
      <c r="AL4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1" s="61" t="str">
        <f>IF(N(tblCases[[#This Row],[次回ID番号]])=0,"",IFERROR(MATCH(tblCases[[#This Row],[案件ID]]&amp;"|"&amp;tblCases[[#This Row],[次回ID番号]],tblTasks[照合キー],0),""))</f>
        <v/>
      </c>
      <c r="AN41" s="61">
        <f>IF(tblCases[[#This Row],[案件ID]]="",0,COUNTIFS(tblTasks[案件ID],tblCases[[#This Row],[案件ID]],tblTasks[表示区分],"期限未設定"))</f>
        <v>0</v>
      </c>
      <c r="AO41" s="61">
        <f>IF(tblCases[[#This Row],[案件ID]]="",0,COUNTIFS(tblTasks[案件ID],tblCases[[#This Row],[案件ID]],tblTasks[未完了],1,tblTasks[区分],"社内確認"))</f>
        <v>0</v>
      </c>
      <c r="AP41" s="61">
        <f>IF(OR(HomeStaff="",HomeStaff="全員",HomeStaff=tblCases[[#This Row],[社内担当]]),1,0)</f>
        <v>1</v>
      </c>
      <c r="AQ41" s="61">
        <f>IF(AND(tblCases[[#This Row],[進行中]]=1,tblCases[[#This Row],[次回期限値]]=0,tblCases[[#This Row],[担当一致]]=1),1,0)</f>
        <v>0</v>
      </c>
      <c r="AR41" s="61">
        <f>INT(N(tblCases[[#This Row],[最新接点値]]))*100000+N(tblCases[[#This Row],[ID番号]])</f>
        <v>0</v>
      </c>
      <c r="AS41" s="61" t="str">
        <f>IF(tblCases[[#This Row],[未設定対象]]=1,COUNTIFS(tblCases[未設定対象],1,tblCases[並びキー],"&lt;"&amp;tblCases[[#This Row],[並びキー]])+1,"")</f>
        <v/>
      </c>
      <c r="AT41" s="61" t="str">
        <f>IFERROR(VALUE(MID(tblCases[[#This Row],[案件ID]],2,20)),"")</f>
        <v/>
      </c>
    </row>
    <row r="42">
      <c r="A42" s="49" t="n"/>
      <c r="B42" s="49" t="n"/>
      <c r="C42" s="50" t="str">
        <f>IF(tblCases[[#This Row],[顧客ID]]="","",IFERROR(INDEX(tblCustomers[会社名],MATCH(tblCases[[#This Row],[顧客ID]],tblCustomers[顧客ID],0))&amp;"","（未登録の顧客ID）"))</f>
        <v/>
      </c>
      <c r="D42" s="51" t="n"/>
      <c r="E42" s="52" t="n"/>
      <c r="F42" s="52" t="n"/>
      <c r="G42" s="52" t="n"/>
      <c r="H4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2" s="53" t="str">
        <f>IF(tblCases[[#This Row],[案件ID]]="","",IF(tblCases[[#This Row],[最新会話値]]=0,"なし",tblCases[[#This Row],[最新会話値]]))</f>
        <v/>
      </c>
      <c r="J42" s="53" t="str">
        <f>IF(tblCases[[#This Row],[案件ID]]="","",IF(tblCases[[#This Row],[最新接点値]]=0,"履歴なし",tblCases[[#This Row],[最新接点値]]))</f>
        <v/>
      </c>
      <c r="K42" s="54" t="str">
        <f>IF(OR(tblCases[[#This Row],[案件ID]]="",tblCases[[#This Row],[最新接点値]]=0),"",RefDate-INT(tblCases[[#This Row],[最新接点値]]))</f>
        <v/>
      </c>
      <c r="L4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2" s="55" t="str">
        <f>IF(tblCases[[#This Row],[次回行]]="","",INDEX(tblTasks[担当者],tblCases[[#This Row],[次回行]])&amp;"")</f>
        <v/>
      </c>
      <c r="N42" s="56" t="str">
        <f>IF(tblCases[[#This Row],[次回行]]="","",tblCases[[#This Row],[次回期限値]])</f>
        <v/>
      </c>
      <c r="O4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2" s="49" t="n"/>
      <c r="Q42" s="57" t="str">
        <f>IF(tblCases[[#This Row],[顧客側担当者ID]]="","",IFERROR(INDEX(tblContacts[氏名],MATCH(tblCases[[#This Row],[顧客側担当者ID]],tblContacts[担当者ID],0))&amp;"","（未登録のID）"))</f>
        <v/>
      </c>
      <c r="R42" s="49" t="n"/>
      <c r="S42" s="58" t="n"/>
      <c r="T42" s="59" t="n"/>
      <c r="U42" s="60" t="n"/>
      <c r="V42" s="60" t="n"/>
      <c r="W42" s="51" t="n"/>
      <c r="X42" s="51" t="n"/>
      <c r="Y42" s="51" t="n"/>
      <c r="Z42" s="51" t="n"/>
      <c r="AA4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2" s="61" t="str">
        <f>IF(tblCases[[#This Row],[営業段階]]="","",IFERROR(INDEX(lst_StageKind,MATCH(tblCases[[#This Row],[営業段階]],lst_Stage,0))&amp;"","候補外"))</f>
        <v/>
      </c>
      <c r="AC42" s="61" t="str">
        <f>IF(tblCases[[#This Row],[追客状態]]="","",IFERROR(INDEX(lst_StatusKind,MATCH(tblCases[[#This Row],[追客状態]],lst_Status,0))&amp;"","候補外"))</f>
        <v/>
      </c>
      <c r="AD4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2" s="61">
        <f>IF(AND(tblCases[[#This Row],[案件ID]]&lt;&gt;"",OR(tblCases[[#This Row],[状態区分]]="進行",tblCases[[#This Row],[状態区分]]="待機")),1,0)</f>
        <v>0</v>
      </c>
      <c r="AG42" s="62">
        <f>IF(tblCases[[#This Row],[案件ID]]="",0,_xlfn.MAXIFS(tblHistory[実施日時],tblHistory[案件ID],tblCases[[#This Row],[案件ID]],tblHistory[集計対象],1))</f>
        <v>0.0</v>
      </c>
      <c r="AH42" s="62">
        <f>IF(tblCases[[#This Row],[案件ID]]="",0,_xlfn.MAXIFS(tblHistory[実施日時],tblHistory[案件ID],tblCases[[#This Row],[案件ID]],tblHistory[集計対象],1,tblHistory[実接点],1))</f>
        <v>0.0</v>
      </c>
      <c r="AI4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2" s="61" t="str">
        <f>IF(N(tblCases[[#This Row],[最新ID番号]])=0,"",IFERROR(MATCH(tblCases[[#This Row],[案件ID]]&amp;"|"&amp;tblCases[[#This Row],[最新ID番号]],tblHistory[照合キー],0),""))</f>
        <v/>
      </c>
      <c r="AK42" s="63">
        <f>IF(tblCases[[#This Row],[案件ID]]="",0,_xlfn.MINIFS(tblTasks[期限日],tblTasks[案件ID],tblCases[[#This Row],[案件ID]],tblTasks[次回候補],1))</f>
        <v>0.0</v>
      </c>
      <c r="AL4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2" s="61" t="str">
        <f>IF(N(tblCases[[#This Row],[次回ID番号]])=0,"",IFERROR(MATCH(tblCases[[#This Row],[案件ID]]&amp;"|"&amp;tblCases[[#This Row],[次回ID番号]],tblTasks[照合キー],0),""))</f>
        <v/>
      </c>
      <c r="AN42" s="61">
        <f>IF(tblCases[[#This Row],[案件ID]]="",0,COUNTIFS(tblTasks[案件ID],tblCases[[#This Row],[案件ID]],tblTasks[表示区分],"期限未設定"))</f>
        <v>0</v>
      </c>
      <c r="AO42" s="61">
        <f>IF(tblCases[[#This Row],[案件ID]]="",0,COUNTIFS(tblTasks[案件ID],tblCases[[#This Row],[案件ID]],tblTasks[未完了],1,tblTasks[区分],"社内確認"))</f>
        <v>0</v>
      </c>
      <c r="AP42" s="61">
        <f>IF(OR(HomeStaff="",HomeStaff="全員",HomeStaff=tblCases[[#This Row],[社内担当]]),1,0)</f>
        <v>1</v>
      </c>
      <c r="AQ42" s="61">
        <f>IF(AND(tblCases[[#This Row],[進行中]]=1,tblCases[[#This Row],[次回期限値]]=0,tblCases[[#This Row],[担当一致]]=1),1,0)</f>
        <v>0</v>
      </c>
      <c r="AR42" s="61">
        <f>INT(N(tblCases[[#This Row],[最新接点値]]))*100000+N(tblCases[[#This Row],[ID番号]])</f>
        <v>0</v>
      </c>
      <c r="AS42" s="61" t="str">
        <f>IF(tblCases[[#This Row],[未設定対象]]=1,COUNTIFS(tblCases[未設定対象],1,tblCases[並びキー],"&lt;"&amp;tblCases[[#This Row],[並びキー]])+1,"")</f>
        <v/>
      </c>
      <c r="AT42" s="61" t="str">
        <f>IFERROR(VALUE(MID(tblCases[[#This Row],[案件ID]],2,20)),"")</f>
        <v/>
      </c>
    </row>
    <row r="43">
      <c r="A43" s="49" t="n"/>
      <c r="B43" s="49" t="n"/>
      <c r="C43" s="50" t="str">
        <f>IF(tblCases[[#This Row],[顧客ID]]="","",IFERROR(INDEX(tblCustomers[会社名],MATCH(tblCases[[#This Row],[顧客ID]],tblCustomers[顧客ID],0))&amp;"","（未登録の顧客ID）"))</f>
        <v/>
      </c>
      <c r="D43" s="51" t="n"/>
      <c r="E43" s="52" t="n"/>
      <c r="F43" s="52" t="n"/>
      <c r="G43" s="52" t="n"/>
      <c r="H4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3" s="53" t="str">
        <f>IF(tblCases[[#This Row],[案件ID]]="","",IF(tblCases[[#This Row],[最新会話値]]=0,"なし",tblCases[[#This Row],[最新会話値]]))</f>
        <v/>
      </c>
      <c r="J43" s="53" t="str">
        <f>IF(tblCases[[#This Row],[案件ID]]="","",IF(tblCases[[#This Row],[最新接点値]]=0,"履歴なし",tblCases[[#This Row],[最新接点値]]))</f>
        <v/>
      </c>
      <c r="K43" s="54" t="str">
        <f>IF(OR(tblCases[[#This Row],[案件ID]]="",tblCases[[#This Row],[最新接点値]]=0),"",RefDate-INT(tblCases[[#This Row],[最新接点値]]))</f>
        <v/>
      </c>
      <c r="L4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3" s="55" t="str">
        <f>IF(tblCases[[#This Row],[次回行]]="","",INDEX(tblTasks[担当者],tblCases[[#This Row],[次回行]])&amp;"")</f>
        <v/>
      </c>
      <c r="N43" s="56" t="str">
        <f>IF(tblCases[[#This Row],[次回行]]="","",tblCases[[#This Row],[次回期限値]])</f>
        <v/>
      </c>
      <c r="O4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3" s="49" t="n"/>
      <c r="Q43" s="57" t="str">
        <f>IF(tblCases[[#This Row],[顧客側担当者ID]]="","",IFERROR(INDEX(tblContacts[氏名],MATCH(tblCases[[#This Row],[顧客側担当者ID]],tblContacts[担当者ID],0))&amp;"","（未登録のID）"))</f>
        <v/>
      </c>
      <c r="R43" s="49" t="n"/>
      <c r="S43" s="58" t="n"/>
      <c r="T43" s="59" t="n"/>
      <c r="U43" s="60" t="n"/>
      <c r="V43" s="60" t="n"/>
      <c r="W43" s="51" t="n"/>
      <c r="X43" s="51" t="n"/>
      <c r="Y43" s="51" t="n"/>
      <c r="Z43" s="51" t="n"/>
      <c r="AA4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3" s="61" t="str">
        <f>IF(tblCases[[#This Row],[営業段階]]="","",IFERROR(INDEX(lst_StageKind,MATCH(tblCases[[#This Row],[営業段階]],lst_Stage,0))&amp;"","候補外"))</f>
        <v/>
      </c>
      <c r="AC43" s="61" t="str">
        <f>IF(tblCases[[#This Row],[追客状態]]="","",IFERROR(INDEX(lst_StatusKind,MATCH(tblCases[[#This Row],[追客状態]],lst_Status,0))&amp;"","候補外"))</f>
        <v/>
      </c>
      <c r="AD4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3" s="61">
        <f>IF(AND(tblCases[[#This Row],[案件ID]]&lt;&gt;"",OR(tblCases[[#This Row],[状態区分]]="進行",tblCases[[#This Row],[状態区分]]="待機")),1,0)</f>
        <v>0</v>
      </c>
      <c r="AG43" s="62">
        <f>IF(tblCases[[#This Row],[案件ID]]="",0,_xlfn.MAXIFS(tblHistory[実施日時],tblHistory[案件ID],tblCases[[#This Row],[案件ID]],tblHistory[集計対象],1))</f>
        <v>0.0</v>
      </c>
      <c r="AH43" s="62">
        <f>IF(tblCases[[#This Row],[案件ID]]="",0,_xlfn.MAXIFS(tblHistory[実施日時],tblHistory[案件ID],tblCases[[#This Row],[案件ID]],tblHistory[集計対象],1,tblHistory[実接点],1))</f>
        <v>0.0</v>
      </c>
      <c r="AI43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3" s="61" t="str">
        <f>IF(N(tblCases[[#This Row],[最新ID番号]])=0,"",IFERROR(MATCH(tblCases[[#This Row],[案件ID]]&amp;"|"&amp;tblCases[[#This Row],[最新ID番号]],tblHistory[照合キー],0),""))</f>
        <v/>
      </c>
      <c r="AK43" s="63">
        <f>IF(tblCases[[#This Row],[案件ID]]="",0,_xlfn.MINIFS(tblTasks[期限日],tblTasks[案件ID],tblCases[[#This Row],[案件ID]],tblTasks[次回候補],1))</f>
        <v>0.0</v>
      </c>
      <c r="AL4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3" s="61" t="str">
        <f>IF(N(tblCases[[#This Row],[次回ID番号]])=0,"",IFERROR(MATCH(tblCases[[#This Row],[案件ID]]&amp;"|"&amp;tblCases[[#This Row],[次回ID番号]],tblTasks[照合キー],0),""))</f>
        <v/>
      </c>
      <c r="AN43" s="61">
        <f>IF(tblCases[[#This Row],[案件ID]]="",0,COUNTIFS(tblTasks[案件ID],tblCases[[#This Row],[案件ID]],tblTasks[表示区分],"期限未設定"))</f>
        <v>0</v>
      </c>
      <c r="AO43" s="61">
        <f>IF(tblCases[[#This Row],[案件ID]]="",0,COUNTIFS(tblTasks[案件ID],tblCases[[#This Row],[案件ID]],tblTasks[未完了],1,tblTasks[区分],"社内確認"))</f>
        <v>0</v>
      </c>
      <c r="AP43" s="61">
        <f>IF(OR(HomeStaff="",HomeStaff="全員",HomeStaff=tblCases[[#This Row],[社内担当]]),1,0)</f>
        <v>1</v>
      </c>
      <c r="AQ43" s="61">
        <f>IF(AND(tblCases[[#This Row],[進行中]]=1,tblCases[[#This Row],[次回期限値]]=0,tblCases[[#This Row],[担当一致]]=1),1,0)</f>
        <v>0</v>
      </c>
      <c r="AR43" s="61">
        <f>INT(N(tblCases[[#This Row],[最新接点値]]))*100000+N(tblCases[[#This Row],[ID番号]])</f>
        <v>0</v>
      </c>
      <c r="AS43" s="61" t="str">
        <f>IF(tblCases[[#This Row],[未設定対象]]=1,COUNTIFS(tblCases[未設定対象],1,tblCases[並びキー],"&lt;"&amp;tblCases[[#This Row],[並びキー]])+1,"")</f>
        <v/>
      </c>
      <c r="AT43" s="61" t="str">
        <f>IFERROR(VALUE(MID(tblCases[[#This Row],[案件ID]],2,20)),"")</f>
        <v/>
      </c>
    </row>
    <row r="44">
      <c r="A44" s="49" t="n"/>
      <c r="B44" s="49" t="n"/>
      <c r="C44" s="50" t="str">
        <f>IF(tblCases[[#This Row],[顧客ID]]="","",IFERROR(INDEX(tblCustomers[会社名],MATCH(tblCases[[#This Row],[顧客ID]],tblCustomers[顧客ID],0))&amp;"","（未登録の顧客ID）"))</f>
        <v/>
      </c>
      <c r="D44" s="51" t="n"/>
      <c r="E44" s="52" t="n"/>
      <c r="F44" s="52" t="n"/>
      <c r="G44" s="52" t="n"/>
      <c r="H4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4" s="53" t="str">
        <f>IF(tblCases[[#This Row],[案件ID]]="","",IF(tblCases[[#This Row],[最新会話値]]=0,"なし",tblCases[[#This Row],[最新会話値]]))</f>
        <v/>
      </c>
      <c r="J44" s="53" t="str">
        <f>IF(tblCases[[#This Row],[案件ID]]="","",IF(tblCases[[#This Row],[最新接点値]]=0,"履歴なし",tblCases[[#This Row],[最新接点値]]))</f>
        <v/>
      </c>
      <c r="K44" s="54" t="str">
        <f>IF(OR(tblCases[[#This Row],[案件ID]]="",tblCases[[#This Row],[最新接点値]]=0),"",RefDate-INT(tblCases[[#This Row],[最新接点値]]))</f>
        <v/>
      </c>
      <c r="L4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4" s="55" t="str">
        <f>IF(tblCases[[#This Row],[次回行]]="","",INDEX(tblTasks[担当者],tblCases[[#This Row],[次回行]])&amp;"")</f>
        <v/>
      </c>
      <c r="N44" s="56" t="str">
        <f>IF(tblCases[[#This Row],[次回行]]="","",tblCases[[#This Row],[次回期限値]])</f>
        <v/>
      </c>
      <c r="O4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4" s="49" t="n"/>
      <c r="Q44" s="57" t="str">
        <f>IF(tblCases[[#This Row],[顧客側担当者ID]]="","",IFERROR(INDEX(tblContacts[氏名],MATCH(tblCases[[#This Row],[顧客側担当者ID]],tblContacts[担当者ID],0))&amp;"","（未登録のID）"))</f>
        <v/>
      </c>
      <c r="R44" s="49" t="n"/>
      <c r="S44" s="58" t="n"/>
      <c r="T44" s="59" t="n"/>
      <c r="U44" s="60" t="n"/>
      <c r="V44" s="60" t="n"/>
      <c r="W44" s="51" t="n"/>
      <c r="X44" s="51" t="n"/>
      <c r="Y44" s="51" t="n"/>
      <c r="Z44" s="51" t="n"/>
      <c r="AA4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4" s="61" t="str">
        <f>IF(tblCases[[#This Row],[営業段階]]="","",IFERROR(INDEX(lst_StageKind,MATCH(tblCases[[#This Row],[営業段階]],lst_Stage,0))&amp;"","候補外"))</f>
        <v/>
      </c>
      <c r="AC44" s="61" t="str">
        <f>IF(tblCases[[#This Row],[追客状態]]="","",IFERROR(INDEX(lst_StatusKind,MATCH(tblCases[[#This Row],[追客状態]],lst_Status,0))&amp;"","候補外"))</f>
        <v/>
      </c>
      <c r="AD4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4" s="61">
        <f>IF(AND(tblCases[[#This Row],[案件ID]]&lt;&gt;"",OR(tblCases[[#This Row],[状態区分]]="進行",tblCases[[#This Row],[状態区分]]="待機")),1,0)</f>
        <v>0</v>
      </c>
      <c r="AG44" s="62">
        <f>IF(tblCases[[#This Row],[案件ID]]="",0,_xlfn.MAXIFS(tblHistory[実施日時],tblHistory[案件ID],tblCases[[#This Row],[案件ID]],tblHistory[集計対象],1))</f>
        <v>0.0</v>
      </c>
      <c r="AH44" s="62">
        <f>IF(tblCases[[#This Row],[案件ID]]="",0,_xlfn.MAXIFS(tblHistory[実施日時],tblHistory[案件ID],tblCases[[#This Row],[案件ID]],tblHistory[集計対象],1,tblHistory[実接点],1))</f>
        <v>0.0</v>
      </c>
      <c r="AI44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4" s="61" t="str">
        <f>IF(N(tblCases[[#This Row],[最新ID番号]])=0,"",IFERROR(MATCH(tblCases[[#This Row],[案件ID]]&amp;"|"&amp;tblCases[[#This Row],[最新ID番号]],tblHistory[照合キー],0),""))</f>
        <v/>
      </c>
      <c r="AK44" s="63">
        <f>IF(tblCases[[#This Row],[案件ID]]="",0,_xlfn.MINIFS(tblTasks[期限日],tblTasks[案件ID],tblCases[[#This Row],[案件ID]],tblTasks[次回候補],1))</f>
        <v>0.0</v>
      </c>
      <c r="AL44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4" s="61" t="str">
        <f>IF(N(tblCases[[#This Row],[次回ID番号]])=0,"",IFERROR(MATCH(tblCases[[#This Row],[案件ID]]&amp;"|"&amp;tblCases[[#This Row],[次回ID番号]],tblTasks[照合キー],0),""))</f>
        <v/>
      </c>
      <c r="AN44" s="61">
        <f>IF(tblCases[[#This Row],[案件ID]]="",0,COUNTIFS(tblTasks[案件ID],tblCases[[#This Row],[案件ID]],tblTasks[表示区分],"期限未設定"))</f>
        <v>0</v>
      </c>
      <c r="AO44" s="61">
        <f>IF(tblCases[[#This Row],[案件ID]]="",0,COUNTIFS(tblTasks[案件ID],tblCases[[#This Row],[案件ID]],tblTasks[未完了],1,tblTasks[区分],"社内確認"))</f>
        <v>0</v>
      </c>
      <c r="AP44" s="61">
        <f>IF(OR(HomeStaff="",HomeStaff="全員",HomeStaff=tblCases[[#This Row],[社内担当]]),1,0)</f>
        <v>1</v>
      </c>
      <c r="AQ44" s="61">
        <f>IF(AND(tblCases[[#This Row],[進行中]]=1,tblCases[[#This Row],[次回期限値]]=0,tblCases[[#This Row],[担当一致]]=1),1,0)</f>
        <v>0</v>
      </c>
      <c r="AR44" s="61">
        <f>INT(N(tblCases[[#This Row],[最新接点値]]))*100000+N(tblCases[[#This Row],[ID番号]])</f>
        <v>0</v>
      </c>
      <c r="AS44" s="61" t="str">
        <f>IF(tblCases[[#This Row],[未設定対象]]=1,COUNTIFS(tblCases[未設定対象],1,tblCases[並びキー],"&lt;"&amp;tblCases[[#This Row],[並びキー]])+1,"")</f>
        <v/>
      </c>
      <c r="AT44" s="61" t="str">
        <f>IFERROR(VALUE(MID(tblCases[[#This Row],[案件ID]],2,20)),"")</f>
        <v/>
      </c>
    </row>
    <row r="45">
      <c r="A45" s="49" t="n"/>
      <c r="B45" s="49" t="n"/>
      <c r="C45" s="50" t="str">
        <f>IF(tblCases[[#This Row],[顧客ID]]="","",IFERROR(INDEX(tblCustomers[会社名],MATCH(tblCases[[#This Row],[顧客ID]],tblCustomers[顧客ID],0))&amp;"","（未登録の顧客ID）"))</f>
        <v/>
      </c>
      <c r="D45" s="51" t="n"/>
      <c r="E45" s="52" t="n"/>
      <c r="F45" s="52" t="n"/>
      <c r="G45" s="52" t="n"/>
      <c r="H45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5" s="53" t="str">
        <f>IF(tblCases[[#This Row],[案件ID]]="","",IF(tblCases[[#This Row],[最新会話値]]=0,"なし",tblCases[[#This Row],[最新会話値]]))</f>
        <v/>
      </c>
      <c r="J45" s="53" t="str">
        <f>IF(tblCases[[#This Row],[案件ID]]="","",IF(tblCases[[#This Row],[最新接点値]]=0,"履歴なし",tblCases[[#This Row],[最新接点値]]))</f>
        <v/>
      </c>
      <c r="K45" s="54" t="str">
        <f>IF(OR(tblCases[[#This Row],[案件ID]]="",tblCases[[#This Row],[最新接点値]]=0),"",RefDate-INT(tblCases[[#This Row],[最新接点値]]))</f>
        <v/>
      </c>
      <c r="L45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5" s="55" t="str">
        <f>IF(tblCases[[#This Row],[次回行]]="","",INDEX(tblTasks[担当者],tblCases[[#This Row],[次回行]])&amp;"")</f>
        <v/>
      </c>
      <c r="N45" s="56" t="str">
        <f>IF(tblCases[[#This Row],[次回行]]="","",tblCases[[#This Row],[次回期限値]])</f>
        <v/>
      </c>
      <c r="O45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5" s="49" t="n"/>
      <c r="Q45" s="57" t="str">
        <f>IF(tblCases[[#This Row],[顧客側担当者ID]]="","",IFERROR(INDEX(tblContacts[氏名],MATCH(tblCases[[#This Row],[顧客側担当者ID]],tblContacts[担当者ID],0))&amp;"","（未登録のID）"))</f>
        <v/>
      </c>
      <c r="R45" s="49" t="n"/>
      <c r="S45" s="58" t="n"/>
      <c r="T45" s="59" t="n"/>
      <c r="U45" s="60" t="n"/>
      <c r="V45" s="60" t="n"/>
      <c r="W45" s="51" t="n"/>
      <c r="X45" s="51" t="n"/>
      <c r="Y45" s="51" t="n"/>
      <c r="Z45" s="51" t="n"/>
      <c r="AA45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5" s="61" t="str">
        <f>IF(tblCases[[#This Row],[営業段階]]="","",IFERROR(INDEX(lst_StageKind,MATCH(tblCases[[#This Row],[営業段階]],lst_Stage,0))&amp;"","候補外"))</f>
        <v/>
      </c>
      <c r="AC45" s="61" t="str">
        <f>IF(tblCases[[#This Row],[追客状態]]="","",IFERROR(INDEX(lst_StatusKind,MATCH(tblCases[[#This Row],[追客状態]],lst_Status,0))&amp;"","候補外"))</f>
        <v/>
      </c>
      <c r="AD45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5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5" s="61">
        <f>IF(AND(tblCases[[#This Row],[案件ID]]&lt;&gt;"",OR(tblCases[[#This Row],[状態区分]]="進行",tblCases[[#This Row],[状態区分]]="待機")),1,0)</f>
        <v>0</v>
      </c>
      <c r="AG45" s="62">
        <f>IF(tblCases[[#This Row],[案件ID]]="",0,_xlfn.MAXIFS(tblHistory[実施日時],tblHistory[案件ID],tblCases[[#This Row],[案件ID]],tblHistory[集計対象],1))</f>
        <v>0.0</v>
      </c>
      <c r="AH45" s="62">
        <f>IF(tblCases[[#This Row],[案件ID]]="",0,_xlfn.MAXIFS(tblHistory[実施日時],tblHistory[案件ID],tblCases[[#This Row],[案件ID]],tblHistory[集計対象],1,tblHistory[実接点],1))</f>
        <v>0.0</v>
      </c>
      <c r="AI45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5" s="61" t="str">
        <f>IF(N(tblCases[[#This Row],[最新ID番号]])=0,"",IFERROR(MATCH(tblCases[[#This Row],[案件ID]]&amp;"|"&amp;tblCases[[#This Row],[最新ID番号]],tblHistory[照合キー],0),""))</f>
        <v/>
      </c>
      <c r="AK45" s="63">
        <f>IF(tblCases[[#This Row],[案件ID]]="",0,_xlfn.MINIFS(tblTasks[期限日],tblTasks[案件ID],tblCases[[#This Row],[案件ID]],tblTasks[次回候補],1))</f>
        <v>0.0</v>
      </c>
      <c r="AL45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5" s="61" t="str">
        <f>IF(N(tblCases[[#This Row],[次回ID番号]])=0,"",IFERROR(MATCH(tblCases[[#This Row],[案件ID]]&amp;"|"&amp;tblCases[[#This Row],[次回ID番号]],tblTasks[照合キー],0),""))</f>
        <v/>
      </c>
      <c r="AN45" s="61">
        <f>IF(tblCases[[#This Row],[案件ID]]="",0,COUNTIFS(tblTasks[案件ID],tblCases[[#This Row],[案件ID]],tblTasks[表示区分],"期限未設定"))</f>
        <v>0</v>
      </c>
      <c r="AO45" s="61">
        <f>IF(tblCases[[#This Row],[案件ID]]="",0,COUNTIFS(tblTasks[案件ID],tblCases[[#This Row],[案件ID]],tblTasks[未完了],1,tblTasks[区分],"社内確認"))</f>
        <v>0</v>
      </c>
      <c r="AP45" s="61">
        <f>IF(OR(HomeStaff="",HomeStaff="全員",HomeStaff=tblCases[[#This Row],[社内担当]]),1,0)</f>
        <v>1</v>
      </c>
      <c r="AQ45" s="61">
        <f>IF(AND(tblCases[[#This Row],[進行中]]=1,tblCases[[#This Row],[次回期限値]]=0,tblCases[[#This Row],[担当一致]]=1),1,0)</f>
        <v>0</v>
      </c>
      <c r="AR45" s="61">
        <f>INT(N(tblCases[[#This Row],[最新接点値]]))*100000+N(tblCases[[#This Row],[ID番号]])</f>
        <v>0</v>
      </c>
      <c r="AS45" s="61" t="str">
        <f>IF(tblCases[[#This Row],[未設定対象]]=1,COUNTIFS(tblCases[未設定対象],1,tblCases[並びキー],"&lt;"&amp;tblCases[[#This Row],[並びキー]])+1,"")</f>
        <v/>
      </c>
      <c r="AT45" s="61" t="str">
        <f>IFERROR(VALUE(MID(tblCases[[#This Row],[案件ID]],2,20)),"")</f>
        <v/>
      </c>
    </row>
    <row r="46">
      <c r="A46" s="49" t="n"/>
      <c r="B46" s="49" t="n"/>
      <c r="C46" s="50" t="str">
        <f>IF(tblCases[[#This Row],[顧客ID]]="","",IFERROR(INDEX(tblCustomers[会社名],MATCH(tblCases[[#This Row],[顧客ID]],tblCustomers[顧客ID],0))&amp;"","（未登録の顧客ID）"))</f>
        <v/>
      </c>
      <c r="D46" s="51" t="n"/>
      <c r="E46" s="52" t="n"/>
      <c r="F46" s="52" t="n"/>
      <c r="G46" s="52" t="n"/>
      <c r="H46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6" s="53" t="str">
        <f>IF(tblCases[[#This Row],[案件ID]]="","",IF(tblCases[[#This Row],[最新会話値]]=0,"なし",tblCases[[#This Row],[最新会話値]]))</f>
        <v/>
      </c>
      <c r="J46" s="53" t="str">
        <f>IF(tblCases[[#This Row],[案件ID]]="","",IF(tblCases[[#This Row],[最新接点値]]=0,"履歴なし",tblCases[[#This Row],[最新接点値]]))</f>
        <v/>
      </c>
      <c r="K46" s="54" t="str">
        <f>IF(OR(tblCases[[#This Row],[案件ID]]="",tblCases[[#This Row],[最新接点値]]=0),"",RefDate-INT(tblCases[[#This Row],[最新接点値]]))</f>
        <v/>
      </c>
      <c r="L46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6" s="55" t="str">
        <f>IF(tblCases[[#This Row],[次回行]]="","",INDEX(tblTasks[担当者],tblCases[[#This Row],[次回行]])&amp;"")</f>
        <v/>
      </c>
      <c r="N46" s="56" t="str">
        <f>IF(tblCases[[#This Row],[次回行]]="","",tblCases[[#This Row],[次回期限値]])</f>
        <v/>
      </c>
      <c r="O46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6" s="49" t="n"/>
      <c r="Q46" s="57" t="str">
        <f>IF(tblCases[[#This Row],[顧客側担当者ID]]="","",IFERROR(INDEX(tblContacts[氏名],MATCH(tblCases[[#This Row],[顧客側担当者ID]],tblContacts[担当者ID],0))&amp;"","（未登録のID）"))</f>
        <v/>
      </c>
      <c r="R46" s="49" t="n"/>
      <c r="S46" s="58" t="n"/>
      <c r="T46" s="59" t="n"/>
      <c r="U46" s="60" t="n"/>
      <c r="V46" s="60" t="n"/>
      <c r="W46" s="51" t="n"/>
      <c r="X46" s="51" t="n"/>
      <c r="Y46" s="51" t="n"/>
      <c r="Z46" s="51" t="n"/>
      <c r="AA46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6" s="61" t="str">
        <f>IF(tblCases[[#This Row],[営業段階]]="","",IFERROR(INDEX(lst_StageKind,MATCH(tblCases[[#This Row],[営業段階]],lst_Stage,0))&amp;"","候補外"))</f>
        <v/>
      </c>
      <c r="AC46" s="61" t="str">
        <f>IF(tblCases[[#This Row],[追客状態]]="","",IFERROR(INDEX(lst_StatusKind,MATCH(tblCases[[#This Row],[追客状態]],lst_Status,0))&amp;"","候補外"))</f>
        <v/>
      </c>
      <c r="AD46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6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6" s="61">
        <f>IF(AND(tblCases[[#This Row],[案件ID]]&lt;&gt;"",OR(tblCases[[#This Row],[状態区分]]="進行",tblCases[[#This Row],[状態区分]]="待機")),1,0)</f>
        <v>0</v>
      </c>
      <c r="AG46" s="62">
        <f>IF(tblCases[[#This Row],[案件ID]]="",0,_xlfn.MAXIFS(tblHistory[実施日時],tblHistory[案件ID],tblCases[[#This Row],[案件ID]],tblHistory[集計対象],1))</f>
        <v>0.0</v>
      </c>
      <c r="AH46" s="62">
        <f>IF(tblCases[[#This Row],[案件ID]]="",0,_xlfn.MAXIFS(tblHistory[実施日時],tblHistory[案件ID],tblCases[[#This Row],[案件ID]],tblHistory[集計対象],1,tblHistory[実接点],1))</f>
        <v>0.0</v>
      </c>
      <c r="AI46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6" s="61" t="str">
        <f>IF(N(tblCases[[#This Row],[最新ID番号]])=0,"",IFERROR(MATCH(tblCases[[#This Row],[案件ID]]&amp;"|"&amp;tblCases[[#This Row],[最新ID番号]],tblHistory[照合キー],0),""))</f>
        <v/>
      </c>
      <c r="AK46" s="63">
        <f>IF(tblCases[[#This Row],[案件ID]]="",0,_xlfn.MINIFS(tblTasks[期限日],tblTasks[案件ID],tblCases[[#This Row],[案件ID]],tblTasks[次回候補],1))</f>
        <v>0.0</v>
      </c>
      <c r="AL46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6" s="61" t="str">
        <f>IF(N(tblCases[[#This Row],[次回ID番号]])=0,"",IFERROR(MATCH(tblCases[[#This Row],[案件ID]]&amp;"|"&amp;tblCases[[#This Row],[次回ID番号]],tblTasks[照合キー],0),""))</f>
        <v/>
      </c>
      <c r="AN46" s="61">
        <f>IF(tblCases[[#This Row],[案件ID]]="",0,COUNTIFS(tblTasks[案件ID],tblCases[[#This Row],[案件ID]],tblTasks[表示区分],"期限未設定"))</f>
        <v>0</v>
      </c>
      <c r="AO46" s="61">
        <f>IF(tblCases[[#This Row],[案件ID]]="",0,COUNTIFS(tblTasks[案件ID],tblCases[[#This Row],[案件ID]],tblTasks[未完了],1,tblTasks[区分],"社内確認"))</f>
        <v>0</v>
      </c>
      <c r="AP46" s="61">
        <f>IF(OR(HomeStaff="",HomeStaff="全員",HomeStaff=tblCases[[#This Row],[社内担当]]),1,0)</f>
        <v>1</v>
      </c>
      <c r="AQ46" s="61">
        <f>IF(AND(tblCases[[#This Row],[進行中]]=1,tblCases[[#This Row],[次回期限値]]=0,tblCases[[#This Row],[担当一致]]=1),1,0)</f>
        <v>0</v>
      </c>
      <c r="AR46" s="61">
        <f>INT(N(tblCases[[#This Row],[最新接点値]]))*100000+N(tblCases[[#This Row],[ID番号]])</f>
        <v>0</v>
      </c>
      <c r="AS46" s="61" t="str">
        <f>IF(tblCases[[#This Row],[未設定対象]]=1,COUNTIFS(tblCases[未設定対象],1,tblCases[並びキー],"&lt;"&amp;tblCases[[#This Row],[並びキー]])+1,"")</f>
        <v/>
      </c>
      <c r="AT46" s="61" t="str">
        <f>IFERROR(VALUE(MID(tblCases[[#This Row],[案件ID]],2,20)),"")</f>
        <v/>
      </c>
    </row>
    <row r="47">
      <c r="A47" s="49" t="n"/>
      <c r="B47" s="49" t="n"/>
      <c r="C47" s="50" t="str">
        <f>IF(tblCases[[#This Row],[顧客ID]]="","",IFERROR(INDEX(tblCustomers[会社名],MATCH(tblCases[[#This Row],[顧客ID]],tblCustomers[顧客ID],0))&amp;"","（未登録の顧客ID）"))</f>
        <v/>
      </c>
      <c r="D47" s="51" t="n"/>
      <c r="E47" s="52" t="n"/>
      <c r="F47" s="52" t="n"/>
      <c r="G47" s="52" t="n"/>
      <c r="H47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7" s="53" t="str">
        <f>IF(tblCases[[#This Row],[案件ID]]="","",IF(tblCases[[#This Row],[最新会話値]]=0,"なし",tblCases[[#This Row],[最新会話値]]))</f>
        <v/>
      </c>
      <c r="J47" s="53" t="str">
        <f>IF(tblCases[[#This Row],[案件ID]]="","",IF(tblCases[[#This Row],[最新接点値]]=0,"履歴なし",tblCases[[#This Row],[最新接点値]]))</f>
        <v/>
      </c>
      <c r="K47" s="54" t="str">
        <f>IF(OR(tblCases[[#This Row],[案件ID]]="",tblCases[[#This Row],[最新接点値]]=0),"",RefDate-INT(tblCases[[#This Row],[最新接点値]]))</f>
        <v/>
      </c>
      <c r="L47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7" s="55" t="str">
        <f>IF(tblCases[[#This Row],[次回行]]="","",INDEX(tblTasks[担当者],tblCases[[#This Row],[次回行]])&amp;"")</f>
        <v/>
      </c>
      <c r="N47" s="56" t="str">
        <f>IF(tblCases[[#This Row],[次回行]]="","",tblCases[[#This Row],[次回期限値]])</f>
        <v/>
      </c>
      <c r="O47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7" s="49" t="n"/>
      <c r="Q47" s="57" t="str">
        <f>IF(tblCases[[#This Row],[顧客側担当者ID]]="","",IFERROR(INDEX(tblContacts[氏名],MATCH(tblCases[[#This Row],[顧客側担当者ID]],tblContacts[担当者ID],0))&amp;"","（未登録のID）"))</f>
        <v/>
      </c>
      <c r="R47" s="49" t="n"/>
      <c r="S47" s="58" t="n"/>
      <c r="T47" s="59" t="n"/>
      <c r="U47" s="60" t="n"/>
      <c r="V47" s="60" t="n"/>
      <c r="W47" s="51" t="n"/>
      <c r="X47" s="51" t="n"/>
      <c r="Y47" s="51" t="n"/>
      <c r="Z47" s="51" t="n"/>
      <c r="AA47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7" s="61" t="str">
        <f>IF(tblCases[[#This Row],[営業段階]]="","",IFERROR(INDEX(lst_StageKind,MATCH(tblCases[[#This Row],[営業段階]],lst_Stage,0))&amp;"","候補外"))</f>
        <v/>
      </c>
      <c r="AC47" s="61" t="str">
        <f>IF(tblCases[[#This Row],[追客状態]]="","",IFERROR(INDEX(lst_StatusKind,MATCH(tblCases[[#This Row],[追客状態]],lst_Status,0))&amp;"","候補外"))</f>
        <v/>
      </c>
      <c r="AD47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7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7" s="61">
        <f>IF(AND(tblCases[[#This Row],[案件ID]]&lt;&gt;"",OR(tblCases[[#This Row],[状態区分]]="進行",tblCases[[#This Row],[状態区分]]="待機")),1,0)</f>
        <v>0</v>
      </c>
      <c r="AG47" s="62">
        <f>IF(tblCases[[#This Row],[案件ID]]="",0,_xlfn.MAXIFS(tblHistory[実施日時],tblHistory[案件ID],tblCases[[#This Row],[案件ID]],tblHistory[集計対象],1))</f>
        <v>0.0</v>
      </c>
      <c r="AH47" s="62">
        <f>IF(tblCases[[#This Row],[案件ID]]="",0,_xlfn.MAXIFS(tblHistory[実施日時],tblHistory[案件ID],tblCases[[#This Row],[案件ID]],tblHistory[集計対象],1,tblHistory[実接点],1))</f>
        <v>0.0</v>
      </c>
      <c r="AI47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7" s="61" t="str">
        <f>IF(N(tblCases[[#This Row],[最新ID番号]])=0,"",IFERROR(MATCH(tblCases[[#This Row],[案件ID]]&amp;"|"&amp;tblCases[[#This Row],[最新ID番号]],tblHistory[照合キー],0),""))</f>
        <v/>
      </c>
      <c r="AK47" s="63">
        <f>IF(tblCases[[#This Row],[案件ID]]="",0,_xlfn.MINIFS(tblTasks[期限日],tblTasks[案件ID],tblCases[[#This Row],[案件ID]],tblTasks[次回候補],1))</f>
        <v>0.0</v>
      </c>
      <c r="AL47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7" s="61" t="str">
        <f>IF(N(tblCases[[#This Row],[次回ID番号]])=0,"",IFERROR(MATCH(tblCases[[#This Row],[案件ID]]&amp;"|"&amp;tblCases[[#This Row],[次回ID番号]],tblTasks[照合キー],0),""))</f>
        <v/>
      </c>
      <c r="AN47" s="61">
        <f>IF(tblCases[[#This Row],[案件ID]]="",0,COUNTIFS(tblTasks[案件ID],tblCases[[#This Row],[案件ID]],tblTasks[表示区分],"期限未設定"))</f>
        <v>0</v>
      </c>
      <c r="AO47" s="61">
        <f>IF(tblCases[[#This Row],[案件ID]]="",0,COUNTIFS(tblTasks[案件ID],tblCases[[#This Row],[案件ID]],tblTasks[未完了],1,tblTasks[区分],"社内確認"))</f>
        <v>0</v>
      </c>
      <c r="AP47" s="61">
        <f>IF(OR(HomeStaff="",HomeStaff="全員",HomeStaff=tblCases[[#This Row],[社内担当]]),1,0)</f>
        <v>1</v>
      </c>
      <c r="AQ47" s="61">
        <f>IF(AND(tblCases[[#This Row],[進行中]]=1,tblCases[[#This Row],[次回期限値]]=0,tblCases[[#This Row],[担当一致]]=1),1,0)</f>
        <v>0</v>
      </c>
      <c r="AR47" s="61">
        <f>INT(N(tblCases[[#This Row],[最新接点値]]))*100000+N(tblCases[[#This Row],[ID番号]])</f>
        <v>0</v>
      </c>
      <c r="AS47" s="61" t="str">
        <f>IF(tblCases[[#This Row],[未設定対象]]=1,COUNTIFS(tblCases[未設定対象],1,tblCases[並びキー],"&lt;"&amp;tblCases[[#This Row],[並びキー]])+1,"")</f>
        <v/>
      </c>
      <c r="AT47" s="61" t="str">
        <f>IFERROR(VALUE(MID(tblCases[[#This Row],[案件ID]],2,20)),"")</f>
        <v/>
      </c>
    </row>
    <row r="48">
      <c r="A48" s="49" t="n"/>
      <c r="B48" s="49" t="n"/>
      <c r="C48" s="50" t="str">
        <f>IF(tblCases[[#This Row],[顧客ID]]="","",IFERROR(INDEX(tblCustomers[会社名],MATCH(tblCases[[#This Row],[顧客ID]],tblCustomers[顧客ID],0))&amp;"","（未登録の顧客ID）"))</f>
        <v/>
      </c>
      <c r="D48" s="51" t="n"/>
      <c r="E48" s="52" t="n"/>
      <c r="F48" s="52" t="n"/>
      <c r="G48" s="52" t="n"/>
      <c r="H48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8" s="53" t="str">
        <f>IF(tblCases[[#This Row],[案件ID]]="","",IF(tblCases[[#This Row],[最新会話値]]=0,"なし",tblCases[[#This Row],[最新会話値]]))</f>
        <v/>
      </c>
      <c r="J48" s="53" t="str">
        <f>IF(tblCases[[#This Row],[案件ID]]="","",IF(tblCases[[#This Row],[最新接点値]]=0,"履歴なし",tblCases[[#This Row],[最新接点値]]))</f>
        <v/>
      </c>
      <c r="K48" s="54" t="str">
        <f>IF(OR(tblCases[[#This Row],[案件ID]]="",tblCases[[#This Row],[最新接点値]]=0),"",RefDate-INT(tblCases[[#This Row],[最新接点値]]))</f>
        <v/>
      </c>
      <c r="L48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8" s="55" t="str">
        <f>IF(tblCases[[#This Row],[次回行]]="","",INDEX(tblTasks[担当者],tblCases[[#This Row],[次回行]])&amp;"")</f>
        <v/>
      </c>
      <c r="N48" s="56" t="str">
        <f>IF(tblCases[[#This Row],[次回行]]="","",tblCases[[#This Row],[次回期限値]])</f>
        <v/>
      </c>
      <c r="O48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8" s="49" t="n"/>
      <c r="Q48" s="57" t="str">
        <f>IF(tblCases[[#This Row],[顧客側担当者ID]]="","",IFERROR(INDEX(tblContacts[氏名],MATCH(tblCases[[#This Row],[顧客側担当者ID]],tblContacts[担当者ID],0))&amp;"","（未登録のID）"))</f>
        <v/>
      </c>
      <c r="R48" s="49" t="n"/>
      <c r="S48" s="58" t="n"/>
      <c r="T48" s="59" t="n"/>
      <c r="U48" s="60" t="n"/>
      <c r="V48" s="60" t="n"/>
      <c r="W48" s="51" t="n"/>
      <c r="X48" s="51" t="n"/>
      <c r="Y48" s="51" t="n"/>
      <c r="Z48" s="51" t="n"/>
      <c r="AA48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8" s="61" t="str">
        <f>IF(tblCases[[#This Row],[営業段階]]="","",IFERROR(INDEX(lst_StageKind,MATCH(tblCases[[#This Row],[営業段階]],lst_Stage,0))&amp;"","候補外"))</f>
        <v/>
      </c>
      <c r="AC48" s="61" t="str">
        <f>IF(tblCases[[#This Row],[追客状態]]="","",IFERROR(INDEX(lst_StatusKind,MATCH(tblCases[[#This Row],[追客状態]],lst_Status,0))&amp;"","候補外"))</f>
        <v/>
      </c>
      <c r="AD48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8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8" s="61">
        <f>IF(AND(tblCases[[#This Row],[案件ID]]&lt;&gt;"",OR(tblCases[[#This Row],[状態区分]]="進行",tblCases[[#This Row],[状態区分]]="待機")),1,0)</f>
        <v>0</v>
      </c>
      <c r="AG48" s="62">
        <f>IF(tblCases[[#This Row],[案件ID]]="",0,_xlfn.MAXIFS(tblHistory[実施日時],tblHistory[案件ID],tblCases[[#This Row],[案件ID]],tblHistory[集計対象],1))</f>
        <v>0.0</v>
      </c>
      <c r="AH48" s="62">
        <f>IF(tblCases[[#This Row],[案件ID]]="",0,_xlfn.MAXIFS(tblHistory[実施日時],tblHistory[案件ID],tblCases[[#This Row],[案件ID]],tblHistory[集計対象],1,tblHistory[実接点],1))</f>
        <v>0.0</v>
      </c>
      <c r="AI48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8" s="61" t="str">
        <f>IF(N(tblCases[[#This Row],[最新ID番号]])=0,"",IFERROR(MATCH(tblCases[[#This Row],[案件ID]]&amp;"|"&amp;tblCases[[#This Row],[最新ID番号]],tblHistory[照合キー],0),""))</f>
        <v/>
      </c>
      <c r="AK48" s="63">
        <f>IF(tblCases[[#This Row],[案件ID]]="",0,_xlfn.MINIFS(tblTasks[期限日],tblTasks[案件ID],tblCases[[#This Row],[案件ID]],tblTasks[次回候補],1))</f>
        <v>0.0</v>
      </c>
      <c r="AL48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8" s="61" t="str">
        <f>IF(N(tblCases[[#This Row],[次回ID番号]])=0,"",IFERROR(MATCH(tblCases[[#This Row],[案件ID]]&amp;"|"&amp;tblCases[[#This Row],[次回ID番号]],tblTasks[照合キー],0),""))</f>
        <v/>
      </c>
      <c r="AN48" s="61">
        <f>IF(tblCases[[#This Row],[案件ID]]="",0,COUNTIFS(tblTasks[案件ID],tblCases[[#This Row],[案件ID]],tblTasks[表示区分],"期限未設定"))</f>
        <v>0</v>
      </c>
      <c r="AO48" s="61">
        <f>IF(tblCases[[#This Row],[案件ID]]="",0,COUNTIFS(tblTasks[案件ID],tblCases[[#This Row],[案件ID]],tblTasks[未完了],1,tblTasks[区分],"社内確認"))</f>
        <v>0</v>
      </c>
      <c r="AP48" s="61">
        <f>IF(OR(HomeStaff="",HomeStaff="全員",HomeStaff=tblCases[[#This Row],[社内担当]]),1,0)</f>
        <v>1</v>
      </c>
      <c r="AQ48" s="61">
        <f>IF(AND(tblCases[[#This Row],[進行中]]=1,tblCases[[#This Row],[次回期限値]]=0,tblCases[[#This Row],[担当一致]]=1),1,0)</f>
        <v>0</v>
      </c>
      <c r="AR48" s="61">
        <f>INT(N(tblCases[[#This Row],[最新接点値]]))*100000+N(tblCases[[#This Row],[ID番号]])</f>
        <v>0</v>
      </c>
      <c r="AS48" s="61" t="str">
        <f>IF(tblCases[[#This Row],[未設定対象]]=1,COUNTIFS(tblCases[未設定対象],1,tblCases[並びキー],"&lt;"&amp;tblCases[[#This Row],[並びキー]])+1,"")</f>
        <v/>
      </c>
      <c r="AT48" s="61" t="str">
        <f>IFERROR(VALUE(MID(tblCases[[#This Row],[案件ID]],2,20)),"")</f>
        <v/>
      </c>
    </row>
    <row r="49">
      <c r="A49" s="49" t="n"/>
      <c r="B49" s="49" t="n"/>
      <c r="C49" s="50" t="str">
        <f>IF(tblCases[[#This Row],[顧客ID]]="","",IFERROR(INDEX(tblCustomers[会社名],MATCH(tblCases[[#This Row],[顧客ID]],tblCustomers[顧客ID],0))&amp;"","（未登録の顧客ID）"))</f>
        <v/>
      </c>
      <c r="D49" s="51" t="n"/>
      <c r="E49" s="52" t="n"/>
      <c r="F49" s="52" t="n"/>
      <c r="G49" s="52" t="n"/>
      <c r="H49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49" s="53" t="str">
        <f>IF(tblCases[[#This Row],[案件ID]]="","",IF(tblCases[[#This Row],[最新会話値]]=0,"なし",tblCases[[#This Row],[最新会話値]]))</f>
        <v/>
      </c>
      <c r="J49" s="53" t="str">
        <f>IF(tblCases[[#This Row],[案件ID]]="","",IF(tblCases[[#This Row],[最新接点値]]=0,"履歴なし",tblCases[[#This Row],[最新接点値]]))</f>
        <v/>
      </c>
      <c r="K49" s="54" t="str">
        <f>IF(OR(tblCases[[#This Row],[案件ID]]="",tblCases[[#This Row],[最新接点値]]=0),"",RefDate-INT(tblCases[[#This Row],[最新接点値]]))</f>
        <v/>
      </c>
      <c r="L49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49" s="55" t="str">
        <f>IF(tblCases[[#This Row],[次回行]]="","",INDEX(tblTasks[担当者],tblCases[[#This Row],[次回行]])&amp;"")</f>
        <v/>
      </c>
      <c r="N49" s="56" t="str">
        <f>IF(tblCases[[#This Row],[次回行]]="","",tblCases[[#This Row],[次回期限値]])</f>
        <v/>
      </c>
      <c r="O49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49" s="49" t="n"/>
      <c r="Q49" s="57" t="str">
        <f>IF(tblCases[[#This Row],[顧客側担当者ID]]="","",IFERROR(INDEX(tblContacts[氏名],MATCH(tblCases[[#This Row],[顧客側担当者ID]],tblContacts[担当者ID],0))&amp;"","（未登録のID）"))</f>
        <v/>
      </c>
      <c r="R49" s="49" t="n"/>
      <c r="S49" s="58" t="n"/>
      <c r="T49" s="59" t="n"/>
      <c r="U49" s="60" t="n"/>
      <c r="V49" s="60" t="n"/>
      <c r="W49" s="51" t="n"/>
      <c r="X49" s="51" t="n"/>
      <c r="Y49" s="51" t="n"/>
      <c r="Z49" s="51" t="n"/>
      <c r="AA49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49" s="61" t="str">
        <f>IF(tblCases[[#This Row],[営業段階]]="","",IFERROR(INDEX(lst_StageKind,MATCH(tblCases[[#This Row],[営業段階]],lst_Stage,0))&amp;"","候補外"))</f>
        <v/>
      </c>
      <c r="AC49" s="61" t="str">
        <f>IF(tblCases[[#This Row],[追客状態]]="","",IFERROR(INDEX(lst_StatusKind,MATCH(tblCases[[#This Row],[追客状態]],lst_Status,0))&amp;"","候補外"))</f>
        <v/>
      </c>
      <c r="AD49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49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49" s="61">
        <f>IF(AND(tblCases[[#This Row],[案件ID]]&lt;&gt;"",OR(tblCases[[#This Row],[状態区分]]="進行",tblCases[[#This Row],[状態区分]]="待機")),1,0)</f>
        <v>0</v>
      </c>
      <c r="AG49" s="62">
        <f>IF(tblCases[[#This Row],[案件ID]]="",0,_xlfn.MAXIFS(tblHistory[実施日時],tblHistory[案件ID],tblCases[[#This Row],[案件ID]],tblHistory[集計対象],1))</f>
        <v>0.0</v>
      </c>
      <c r="AH49" s="62">
        <f>IF(tblCases[[#This Row],[案件ID]]="",0,_xlfn.MAXIFS(tblHistory[実施日時],tblHistory[案件ID],tblCases[[#This Row],[案件ID]],tblHistory[集計対象],1,tblHistory[実接点],1))</f>
        <v>0.0</v>
      </c>
      <c r="AI49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49" s="61" t="str">
        <f>IF(N(tblCases[[#This Row],[最新ID番号]])=0,"",IFERROR(MATCH(tblCases[[#This Row],[案件ID]]&amp;"|"&amp;tblCases[[#This Row],[最新ID番号]],tblHistory[照合キー],0),""))</f>
        <v/>
      </c>
      <c r="AK49" s="63">
        <f>IF(tblCases[[#This Row],[案件ID]]="",0,_xlfn.MINIFS(tblTasks[期限日],tblTasks[案件ID],tblCases[[#This Row],[案件ID]],tblTasks[次回候補],1))</f>
        <v>0.0</v>
      </c>
      <c r="AL49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49" s="61" t="str">
        <f>IF(N(tblCases[[#This Row],[次回ID番号]])=0,"",IFERROR(MATCH(tblCases[[#This Row],[案件ID]]&amp;"|"&amp;tblCases[[#This Row],[次回ID番号]],tblTasks[照合キー],0),""))</f>
        <v/>
      </c>
      <c r="AN49" s="61">
        <f>IF(tblCases[[#This Row],[案件ID]]="",0,COUNTIFS(tblTasks[案件ID],tblCases[[#This Row],[案件ID]],tblTasks[表示区分],"期限未設定"))</f>
        <v>0</v>
      </c>
      <c r="AO49" s="61">
        <f>IF(tblCases[[#This Row],[案件ID]]="",0,COUNTIFS(tblTasks[案件ID],tblCases[[#This Row],[案件ID]],tblTasks[未完了],1,tblTasks[区分],"社内確認"))</f>
        <v>0</v>
      </c>
      <c r="AP49" s="61">
        <f>IF(OR(HomeStaff="",HomeStaff="全員",HomeStaff=tblCases[[#This Row],[社内担当]]),1,0)</f>
        <v>1</v>
      </c>
      <c r="AQ49" s="61">
        <f>IF(AND(tblCases[[#This Row],[進行中]]=1,tblCases[[#This Row],[次回期限値]]=0,tblCases[[#This Row],[担当一致]]=1),1,0)</f>
        <v>0</v>
      </c>
      <c r="AR49" s="61">
        <f>INT(N(tblCases[[#This Row],[最新接点値]]))*100000+N(tblCases[[#This Row],[ID番号]])</f>
        <v>0</v>
      </c>
      <c r="AS49" s="61" t="str">
        <f>IF(tblCases[[#This Row],[未設定対象]]=1,COUNTIFS(tblCases[未設定対象],1,tblCases[並びキー],"&lt;"&amp;tblCases[[#This Row],[並びキー]])+1,"")</f>
        <v/>
      </c>
      <c r="AT49" s="61" t="str">
        <f>IFERROR(VALUE(MID(tblCases[[#This Row],[案件ID]],2,20)),"")</f>
        <v/>
      </c>
    </row>
    <row r="50">
      <c r="A50" s="49" t="n"/>
      <c r="B50" s="49" t="n"/>
      <c r="C50" s="50" t="str">
        <f>IF(tblCases[[#This Row],[顧客ID]]="","",IFERROR(INDEX(tblCustomers[会社名],MATCH(tblCases[[#This Row],[顧客ID]],tblCustomers[顧客ID],0))&amp;"","（未登録の顧客ID）"))</f>
        <v/>
      </c>
      <c r="D50" s="51" t="n"/>
      <c r="E50" s="52" t="n"/>
      <c r="F50" s="52" t="n"/>
      <c r="G50" s="52" t="n"/>
      <c r="H50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50" s="53" t="str">
        <f>IF(tblCases[[#This Row],[案件ID]]="","",IF(tblCases[[#This Row],[最新会話値]]=0,"なし",tblCases[[#This Row],[最新会話値]]))</f>
        <v/>
      </c>
      <c r="J50" s="53" t="str">
        <f>IF(tblCases[[#This Row],[案件ID]]="","",IF(tblCases[[#This Row],[最新接点値]]=0,"履歴なし",tblCases[[#This Row],[最新接点値]]))</f>
        <v/>
      </c>
      <c r="K50" s="54" t="str">
        <f>IF(OR(tblCases[[#This Row],[案件ID]]="",tblCases[[#This Row],[最新接点値]]=0),"",RefDate-INT(tblCases[[#This Row],[最新接点値]]))</f>
        <v/>
      </c>
      <c r="L50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50" s="55" t="str">
        <f>IF(tblCases[[#This Row],[次回行]]="","",INDEX(tblTasks[担当者],tblCases[[#This Row],[次回行]])&amp;"")</f>
        <v/>
      </c>
      <c r="N50" s="56" t="str">
        <f>IF(tblCases[[#This Row],[次回行]]="","",tblCases[[#This Row],[次回期限値]])</f>
        <v/>
      </c>
      <c r="O50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50" s="49" t="n"/>
      <c r="Q50" s="57" t="str">
        <f>IF(tblCases[[#This Row],[顧客側担当者ID]]="","",IFERROR(INDEX(tblContacts[氏名],MATCH(tblCases[[#This Row],[顧客側担当者ID]],tblContacts[担当者ID],0))&amp;"","（未登録のID）"))</f>
        <v/>
      </c>
      <c r="R50" s="49" t="n"/>
      <c r="S50" s="58" t="n"/>
      <c r="T50" s="59" t="n"/>
      <c r="U50" s="60" t="n"/>
      <c r="V50" s="60" t="n"/>
      <c r="W50" s="51" t="n"/>
      <c r="X50" s="51" t="n"/>
      <c r="Y50" s="51" t="n"/>
      <c r="Z50" s="51" t="n"/>
      <c r="AA50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50" s="61" t="str">
        <f>IF(tblCases[[#This Row],[営業段階]]="","",IFERROR(INDEX(lst_StageKind,MATCH(tblCases[[#This Row],[営業段階]],lst_Stage,0))&amp;"","候補外"))</f>
        <v/>
      </c>
      <c r="AC50" s="61" t="str">
        <f>IF(tblCases[[#This Row],[追客状態]]="","",IFERROR(INDEX(lst_StatusKind,MATCH(tblCases[[#This Row],[追客状態]],lst_Status,0))&amp;"","候補外"))</f>
        <v/>
      </c>
      <c r="AD50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50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50" s="61">
        <f>IF(AND(tblCases[[#This Row],[案件ID]]&lt;&gt;"",OR(tblCases[[#This Row],[状態区分]]="進行",tblCases[[#This Row],[状態区分]]="待機")),1,0)</f>
        <v>0</v>
      </c>
      <c r="AG50" s="62">
        <f>IF(tblCases[[#This Row],[案件ID]]="",0,_xlfn.MAXIFS(tblHistory[実施日時],tblHistory[案件ID],tblCases[[#This Row],[案件ID]],tblHistory[集計対象],1))</f>
        <v>0.0</v>
      </c>
      <c r="AH50" s="62">
        <f>IF(tblCases[[#This Row],[案件ID]]="",0,_xlfn.MAXIFS(tblHistory[実施日時],tblHistory[案件ID],tblCases[[#This Row],[案件ID]],tblHistory[集計対象],1,tblHistory[実接点],1))</f>
        <v>0.0</v>
      </c>
      <c r="AI50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50" s="61" t="str">
        <f>IF(N(tblCases[[#This Row],[最新ID番号]])=0,"",IFERROR(MATCH(tblCases[[#This Row],[案件ID]]&amp;"|"&amp;tblCases[[#This Row],[最新ID番号]],tblHistory[照合キー],0),""))</f>
        <v/>
      </c>
      <c r="AK50" s="63">
        <f>IF(tblCases[[#This Row],[案件ID]]="",0,_xlfn.MINIFS(tblTasks[期限日],tblTasks[案件ID],tblCases[[#This Row],[案件ID]],tblTasks[次回候補],1))</f>
        <v>0.0</v>
      </c>
      <c r="AL50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50" s="61" t="str">
        <f>IF(N(tblCases[[#This Row],[次回ID番号]])=0,"",IFERROR(MATCH(tblCases[[#This Row],[案件ID]]&amp;"|"&amp;tblCases[[#This Row],[次回ID番号]],tblTasks[照合キー],0),""))</f>
        <v/>
      </c>
      <c r="AN50" s="61">
        <f>IF(tblCases[[#This Row],[案件ID]]="",0,COUNTIFS(tblTasks[案件ID],tblCases[[#This Row],[案件ID]],tblTasks[表示区分],"期限未設定"))</f>
        <v>0</v>
      </c>
      <c r="AO50" s="61">
        <f>IF(tblCases[[#This Row],[案件ID]]="",0,COUNTIFS(tblTasks[案件ID],tblCases[[#This Row],[案件ID]],tblTasks[未完了],1,tblTasks[区分],"社内確認"))</f>
        <v>0</v>
      </c>
      <c r="AP50" s="61">
        <f>IF(OR(HomeStaff="",HomeStaff="全員",HomeStaff=tblCases[[#This Row],[社内担当]]),1,0)</f>
        <v>1</v>
      </c>
      <c r="AQ50" s="61">
        <f>IF(AND(tblCases[[#This Row],[進行中]]=1,tblCases[[#This Row],[次回期限値]]=0,tblCases[[#This Row],[担当一致]]=1),1,0)</f>
        <v>0</v>
      </c>
      <c r="AR50" s="61">
        <f>INT(N(tblCases[[#This Row],[最新接点値]]))*100000+N(tblCases[[#This Row],[ID番号]])</f>
        <v>0</v>
      </c>
      <c r="AS50" s="61" t="str">
        <f>IF(tblCases[[#This Row],[未設定対象]]=1,COUNTIFS(tblCases[未設定対象],1,tblCases[並びキー],"&lt;"&amp;tblCases[[#This Row],[並びキー]])+1,"")</f>
        <v/>
      </c>
      <c r="AT50" s="61" t="str">
        <f>IFERROR(VALUE(MID(tblCases[[#This Row],[案件ID]],2,20)),"")</f>
        <v/>
      </c>
    </row>
    <row r="51">
      <c r="A51" s="49" t="n"/>
      <c r="B51" s="49" t="n"/>
      <c r="C51" s="50" t="str">
        <f>IF(tblCases[[#This Row],[顧客ID]]="","",IFERROR(INDEX(tblCustomers[会社名],MATCH(tblCases[[#This Row],[顧客ID]],tblCustomers[顧客ID],0))&amp;"","（未登録の顧客ID）"))</f>
        <v/>
      </c>
      <c r="D51" s="51" t="n"/>
      <c r="E51" s="52" t="n"/>
      <c r="F51" s="52" t="n"/>
      <c r="G51" s="52" t="n"/>
      <c r="H51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51" s="53" t="str">
        <f>IF(tblCases[[#This Row],[案件ID]]="","",IF(tblCases[[#This Row],[最新会話値]]=0,"なし",tblCases[[#This Row],[最新会話値]]))</f>
        <v/>
      </c>
      <c r="J51" s="53" t="str">
        <f>IF(tblCases[[#This Row],[案件ID]]="","",IF(tblCases[[#This Row],[最新接点値]]=0,"履歴なし",tblCases[[#This Row],[最新接点値]]))</f>
        <v/>
      </c>
      <c r="K51" s="54" t="str">
        <f>IF(OR(tblCases[[#This Row],[案件ID]]="",tblCases[[#This Row],[最新接点値]]=0),"",RefDate-INT(tblCases[[#This Row],[最新接点値]]))</f>
        <v/>
      </c>
      <c r="L51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51" s="55" t="str">
        <f>IF(tblCases[[#This Row],[次回行]]="","",INDEX(tblTasks[担当者],tblCases[[#This Row],[次回行]])&amp;"")</f>
        <v/>
      </c>
      <c r="N51" s="56" t="str">
        <f>IF(tblCases[[#This Row],[次回行]]="","",tblCases[[#This Row],[次回期限値]])</f>
        <v/>
      </c>
      <c r="O51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51" s="49" t="n"/>
      <c r="Q51" s="57" t="str">
        <f>IF(tblCases[[#This Row],[顧客側担当者ID]]="","",IFERROR(INDEX(tblContacts[氏名],MATCH(tblCases[[#This Row],[顧客側担当者ID]],tblContacts[担当者ID],0))&amp;"","（未登録のID）"))</f>
        <v/>
      </c>
      <c r="R51" s="49" t="n"/>
      <c r="S51" s="58" t="n"/>
      <c r="T51" s="59" t="n"/>
      <c r="U51" s="60" t="n"/>
      <c r="V51" s="60" t="n"/>
      <c r="W51" s="51" t="n"/>
      <c r="X51" s="51" t="n"/>
      <c r="Y51" s="51" t="n"/>
      <c r="Z51" s="51" t="n"/>
      <c r="AA51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51" s="61" t="str">
        <f>IF(tblCases[[#This Row],[営業段階]]="","",IFERROR(INDEX(lst_StageKind,MATCH(tblCases[[#This Row],[営業段階]],lst_Stage,0))&amp;"","候補外"))</f>
        <v/>
      </c>
      <c r="AC51" s="61" t="str">
        <f>IF(tblCases[[#This Row],[追客状態]]="","",IFERROR(INDEX(lst_StatusKind,MATCH(tblCases[[#This Row],[追客状態]],lst_Status,0))&amp;"","候補外"))</f>
        <v/>
      </c>
      <c r="AD51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51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51" s="61">
        <f>IF(AND(tblCases[[#This Row],[案件ID]]&lt;&gt;"",OR(tblCases[[#This Row],[状態区分]]="進行",tblCases[[#This Row],[状態区分]]="待機")),1,0)</f>
        <v>0</v>
      </c>
      <c r="AG51" s="62">
        <f>IF(tblCases[[#This Row],[案件ID]]="",0,_xlfn.MAXIFS(tblHistory[実施日時],tblHistory[案件ID],tblCases[[#This Row],[案件ID]],tblHistory[集計対象],1))</f>
        <v>0.0</v>
      </c>
      <c r="AH51" s="62">
        <f>IF(tblCases[[#This Row],[案件ID]]="",0,_xlfn.MAXIFS(tblHistory[実施日時],tblHistory[案件ID],tblCases[[#This Row],[案件ID]],tblHistory[集計対象],1,tblHistory[実接点],1))</f>
        <v>0.0</v>
      </c>
      <c r="AI51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51" s="61" t="str">
        <f>IF(N(tblCases[[#This Row],[最新ID番号]])=0,"",IFERROR(MATCH(tblCases[[#This Row],[案件ID]]&amp;"|"&amp;tblCases[[#This Row],[最新ID番号]],tblHistory[照合キー],0),""))</f>
        <v/>
      </c>
      <c r="AK51" s="63">
        <f>IF(tblCases[[#This Row],[案件ID]]="",0,_xlfn.MINIFS(tblTasks[期限日],tblTasks[案件ID],tblCases[[#This Row],[案件ID]],tblTasks[次回候補],1))</f>
        <v>0.0</v>
      </c>
      <c r="AL51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51" s="61" t="str">
        <f>IF(N(tblCases[[#This Row],[次回ID番号]])=0,"",IFERROR(MATCH(tblCases[[#This Row],[案件ID]]&amp;"|"&amp;tblCases[[#This Row],[次回ID番号]],tblTasks[照合キー],0),""))</f>
        <v/>
      </c>
      <c r="AN51" s="61">
        <f>IF(tblCases[[#This Row],[案件ID]]="",0,COUNTIFS(tblTasks[案件ID],tblCases[[#This Row],[案件ID]],tblTasks[表示区分],"期限未設定"))</f>
        <v>0</v>
      </c>
      <c r="AO51" s="61">
        <f>IF(tblCases[[#This Row],[案件ID]]="",0,COUNTIFS(tblTasks[案件ID],tblCases[[#This Row],[案件ID]],tblTasks[未完了],1,tblTasks[区分],"社内確認"))</f>
        <v>0</v>
      </c>
      <c r="AP51" s="61">
        <f>IF(OR(HomeStaff="",HomeStaff="全員",HomeStaff=tblCases[[#This Row],[社内担当]]),1,0)</f>
        <v>1</v>
      </c>
      <c r="AQ51" s="61">
        <f>IF(AND(tblCases[[#This Row],[進行中]]=1,tblCases[[#This Row],[次回期限値]]=0,tblCases[[#This Row],[担当一致]]=1),1,0)</f>
        <v>0</v>
      </c>
      <c r="AR51" s="61">
        <f>INT(N(tblCases[[#This Row],[最新接点値]]))*100000+N(tblCases[[#This Row],[ID番号]])</f>
        <v>0</v>
      </c>
      <c r="AS51" s="61" t="str">
        <f>IF(tblCases[[#This Row],[未設定対象]]=1,COUNTIFS(tblCases[未設定対象],1,tblCases[並びキー],"&lt;"&amp;tblCases[[#This Row],[並びキー]])+1,"")</f>
        <v/>
      </c>
      <c r="AT51" s="61" t="str">
        <f>IFERROR(VALUE(MID(tblCases[[#This Row],[案件ID]],2,20)),"")</f>
        <v/>
      </c>
    </row>
    <row r="52">
      <c r="A52" s="49" t="n"/>
      <c r="B52" s="49" t="n"/>
      <c r="C52" s="50" t="str">
        <f>IF(tblCases[[#This Row],[顧客ID]]="","",IFERROR(INDEX(tblCustomers[会社名],MATCH(tblCases[[#This Row],[顧客ID]],tblCustomers[顧客ID],0))&amp;"","（未登録の顧客ID）"))</f>
        <v/>
      </c>
      <c r="D52" s="51" t="n"/>
      <c r="E52" s="52" t="n"/>
      <c r="F52" s="52" t="n"/>
      <c r="G52" s="52" t="n"/>
      <c r="H52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52" s="53" t="str">
        <f>IF(tblCases[[#This Row],[案件ID]]="","",IF(tblCases[[#This Row],[最新会話値]]=0,"なし",tblCases[[#This Row],[最新会話値]]))</f>
        <v/>
      </c>
      <c r="J52" s="53" t="str">
        <f>IF(tblCases[[#This Row],[案件ID]]="","",IF(tblCases[[#This Row],[最新接点値]]=0,"履歴なし",tblCases[[#This Row],[最新接点値]]))</f>
        <v/>
      </c>
      <c r="K52" s="54" t="str">
        <f>IF(OR(tblCases[[#This Row],[案件ID]]="",tblCases[[#This Row],[最新接点値]]=0),"",RefDate-INT(tblCases[[#This Row],[最新接点値]]))</f>
        <v/>
      </c>
      <c r="L52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52" s="55" t="str">
        <f>IF(tblCases[[#This Row],[次回行]]="","",INDEX(tblTasks[担当者],tblCases[[#This Row],[次回行]])&amp;"")</f>
        <v/>
      </c>
      <c r="N52" s="56" t="str">
        <f>IF(tblCases[[#This Row],[次回行]]="","",tblCases[[#This Row],[次回期限値]])</f>
        <v/>
      </c>
      <c r="O52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52" s="49" t="n"/>
      <c r="Q52" s="57" t="str">
        <f>IF(tblCases[[#This Row],[顧客側担当者ID]]="","",IFERROR(INDEX(tblContacts[氏名],MATCH(tblCases[[#This Row],[顧客側担当者ID]],tblContacts[担当者ID],0))&amp;"","（未登録のID）"))</f>
        <v/>
      </c>
      <c r="R52" s="49" t="n"/>
      <c r="S52" s="58" t="n"/>
      <c r="T52" s="59" t="n"/>
      <c r="U52" s="60" t="n"/>
      <c r="V52" s="60" t="n"/>
      <c r="W52" s="51" t="n"/>
      <c r="X52" s="51" t="n"/>
      <c r="Y52" s="51" t="n"/>
      <c r="Z52" s="51" t="n"/>
      <c r="AA52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52" s="61" t="str">
        <f>IF(tblCases[[#This Row],[営業段階]]="","",IFERROR(INDEX(lst_StageKind,MATCH(tblCases[[#This Row],[営業段階]],lst_Stage,0))&amp;"","候補外"))</f>
        <v/>
      </c>
      <c r="AC52" s="61" t="str">
        <f>IF(tblCases[[#This Row],[追客状態]]="","",IFERROR(INDEX(lst_StatusKind,MATCH(tblCases[[#This Row],[追客状態]],lst_Status,0))&amp;"","候補外"))</f>
        <v/>
      </c>
      <c r="AD52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52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52" s="61">
        <f>IF(AND(tblCases[[#This Row],[案件ID]]&lt;&gt;"",OR(tblCases[[#This Row],[状態区分]]="進行",tblCases[[#This Row],[状態区分]]="待機")),1,0)</f>
        <v>0</v>
      </c>
      <c r="AG52" s="62">
        <f>IF(tblCases[[#This Row],[案件ID]]="",0,_xlfn.MAXIFS(tblHistory[実施日時],tblHistory[案件ID],tblCases[[#This Row],[案件ID]],tblHistory[集計対象],1))</f>
        <v>0.0</v>
      </c>
      <c r="AH52" s="62">
        <f>IF(tblCases[[#This Row],[案件ID]]="",0,_xlfn.MAXIFS(tblHistory[実施日時],tblHistory[案件ID],tblCases[[#This Row],[案件ID]],tblHistory[集計対象],1,tblHistory[実接点],1))</f>
        <v>0.0</v>
      </c>
      <c r="AI52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52" s="61" t="str">
        <f>IF(N(tblCases[[#This Row],[最新ID番号]])=0,"",IFERROR(MATCH(tblCases[[#This Row],[案件ID]]&amp;"|"&amp;tblCases[[#This Row],[最新ID番号]],tblHistory[照合キー],0),""))</f>
        <v/>
      </c>
      <c r="AK52" s="63">
        <f>IF(tblCases[[#This Row],[案件ID]]="",0,_xlfn.MINIFS(tblTasks[期限日],tblTasks[案件ID],tblCases[[#This Row],[案件ID]],tblTasks[次回候補],1))</f>
        <v>0.0</v>
      </c>
      <c r="AL52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52" s="61" t="str">
        <f>IF(N(tblCases[[#This Row],[次回ID番号]])=0,"",IFERROR(MATCH(tblCases[[#This Row],[案件ID]]&amp;"|"&amp;tblCases[[#This Row],[次回ID番号]],tblTasks[照合キー],0),""))</f>
        <v/>
      </c>
      <c r="AN52" s="61">
        <f>IF(tblCases[[#This Row],[案件ID]]="",0,COUNTIFS(tblTasks[案件ID],tblCases[[#This Row],[案件ID]],tblTasks[表示区分],"期限未設定"))</f>
        <v>0</v>
      </c>
      <c r="AO52" s="61">
        <f>IF(tblCases[[#This Row],[案件ID]]="",0,COUNTIFS(tblTasks[案件ID],tblCases[[#This Row],[案件ID]],tblTasks[未完了],1,tblTasks[区分],"社内確認"))</f>
        <v>0</v>
      </c>
      <c r="AP52" s="61">
        <f>IF(OR(HomeStaff="",HomeStaff="全員",HomeStaff=tblCases[[#This Row],[社内担当]]),1,0)</f>
        <v>1</v>
      </c>
      <c r="AQ52" s="61">
        <f>IF(AND(tblCases[[#This Row],[進行中]]=1,tblCases[[#This Row],[次回期限値]]=0,tblCases[[#This Row],[担当一致]]=1),1,0)</f>
        <v>0</v>
      </c>
      <c r="AR52" s="61">
        <f>INT(N(tblCases[[#This Row],[最新接点値]]))*100000+N(tblCases[[#This Row],[ID番号]])</f>
        <v>0</v>
      </c>
      <c r="AS52" s="61" t="str">
        <f>IF(tblCases[[#This Row],[未設定対象]]=1,COUNTIFS(tblCases[未設定対象],1,tblCases[並びキー],"&lt;"&amp;tblCases[[#This Row],[並びキー]])+1,"")</f>
        <v/>
      </c>
      <c r="AT52" s="61" t="str">
        <f>IFERROR(VALUE(MID(tblCases[[#This Row],[案件ID]],2,20)),"")</f>
        <v/>
      </c>
    </row>
    <row r="53">
      <c r="A53" s="49" t="n"/>
      <c r="B53" s="49" t="n"/>
      <c r="C53" s="50" t="str">
        <f>IF(tblCases[[#This Row],[顧客ID]]="","",IFERROR(INDEX(tblCustomers[会社名],MATCH(tblCases[[#This Row],[顧客ID]],tblCustomers[顧客ID],0))&amp;"","（未登録の顧客ID）"))</f>
        <v/>
      </c>
      <c r="D53" s="51" t="n"/>
      <c r="E53" s="52" t="n"/>
      <c r="F53" s="52" t="n"/>
      <c r="G53" s="52" t="n"/>
      <c r="H53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53" s="53" t="str">
        <f>IF(tblCases[[#This Row],[案件ID]]="","",IF(tblCases[[#This Row],[最新会話値]]=0,"なし",tblCases[[#This Row],[最新会話値]]))</f>
        <v/>
      </c>
      <c r="J53" s="53" t="str">
        <f>IF(tblCases[[#This Row],[案件ID]]="","",IF(tblCases[[#This Row],[最新接点値]]=0,"履歴なし",tblCases[[#This Row],[最新接点値]]))</f>
        <v/>
      </c>
      <c r="K53" s="54" t="str">
        <f>IF(OR(tblCases[[#This Row],[案件ID]]="",tblCases[[#This Row],[最新接点値]]=0),"",RefDate-INT(tblCases[[#This Row],[最新接点値]]))</f>
        <v/>
      </c>
      <c r="L53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53" s="55" t="str">
        <f>IF(tblCases[[#This Row],[次回行]]="","",INDEX(tblTasks[担当者],tblCases[[#This Row],[次回行]])&amp;"")</f>
        <v/>
      </c>
      <c r="N53" s="56" t="str">
        <f>IF(tblCases[[#This Row],[次回行]]="","",tblCases[[#This Row],[次回期限値]])</f>
        <v/>
      </c>
      <c r="O53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53" s="49" t="n"/>
      <c r="Q53" s="57" t="str">
        <f>IF(tblCases[[#This Row],[顧客側担当者ID]]="","",IFERROR(INDEX(tblContacts[氏名],MATCH(tblCases[[#This Row],[顧客側担当者ID]],tblContacts[担当者ID],0))&amp;"","（未登録のID）"))</f>
        <v/>
      </c>
      <c r="R53" s="49" t="n"/>
      <c r="S53" s="58" t="n"/>
      <c r="T53" s="59" t="n"/>
      <c r="U53" s="60" t="n"/>
      <c r="V53" s="60" t="n"/>
      <c r="W53" s="51" t="n"/>
      <c r="X53" s="51" t="n"/>
      <c r="Y53" s="51" t="n"/>
      <c r="Z53" s="51" t="n"/>
      <c r="AA53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53" s="61" t="str">
        <f>IF(tblCases[[#This Row],[営業段階]]="","",IFERROR(INDEX(lst_StageKind,MATCH(tblCases[[#This Row],[営業段階]],lst_Stage,0))&amp;"","候補外"))</f>
        <v/>
      </c>
      <c r="AC53" s="61" t="str">
        <f>IF(tblCases[[#This Row],[追客状態]]="","",IFERROR(INDEX(lst_StatusKind,MATCH(tblCases[[#This Row],[追客状態]],lst_Status,0))&amp;"","候補外"))</f>
        <v/>
      </c>
      <c r="AD53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53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53" s="61">
        <f>IF(AND(tblCases[[#This Row],[案件ID]]&lt;&gt;"",OR(tblCases[[#This Row],[状態区分]]="進行",tblCases[[#This Row],[状態区分]]="待機")),1,0)</f>
        <v>0</v>
      </c>
      <c r="AG53" s="62">
        <f>IF(tblCases[[#This Row],[案件ID]]="",0,_xlfn.MAXIFS(tblHistory[実施日時],tblHistory[案件ID],tblCases[[#This Row],[案件ID]],tblHistory[集計対象],1))</f>
        <v>0.0</v>
      </c>
      <c r="AH53" s="62">
        <f>IF(tblCases[[#This Row],[案件ID]]="",0,_xlfn.MAXIFS(tblHistory[実施日時],tblHistory[案件ID],tblCases[[#This Row],[案件ID]],tblHistory[集計対象],1,tblHistory[実接点],1))</f>
        <v>0.0</v>
      </c>
      <c r="AI53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53" s="61" t="str">
        <f>IF(N(tblCases[[#This Row],[最新ID番号]])=0,"",IFERROR(MATCH(tblCases[[#This Row],[案件ID]]&amp;"|"&amp;tblCases[[#This Row],[最新ID番号]],tblHistory[照合キー],0),""))</f>
        <v/>
      </c>
      <c r="AK53" s="63">
        <f>IF(tblCases[[#This Row],[案件ID]]="",0,_xlfn.MINIFS(tblTasks[期限日],tblTasks[案件ID],tblCases[[#This Row],[案件ID]],tblTasks[次回候補],1))</f>
        <v>0.0</v>
      </c>
      <c r="AL53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53" s="61" t="str">
        <f>IF(N(tblCases[[#This Row],[次回ID番号]])=0,"",IFERROR(MATCH(tblCases[[#This Row],[案件ID]]&amp;"|"&amp;tblCases[[#This Row],[次回ID番号]],tblTasks[照合キー],0),""))</f>
        <v/>
      </c>
      <c r="AN53" s="61">
        <f>IF(tblCases[[#This Row],[案件ID]]="",0,COUNTIFS(tblTasks[案件ID],tblCases[[#This Row],[案件ID]],tblTasks[表示区分],"期限未設定"))</f>
        <v>0</v>
      </c>
      <c r="AO53" s="61">
        <f>IF(tblCases[[#This Row],[案件ID]]="",0,COUNTIFS(tblTasks[案件ID],tblCases[[#This Row],[案件ID]],tblTasks[未完了],1,tblTasks[区分],"社内確認"))</f>
        <v>0</v>
      </c>
      <c r="AP53" s="61">
        <f>IF(OR(HomeStaff="",HomeStaff="全員",HomeStaff=tblCases[[#This Row],[社内担当]]),1,0)</f>
        <v>1</v>
      </c>
      <c r="AQ53" s="61">
        <f>IF(AND(tblCases[[#This Row],[進行中]]=1,tblCases[[#This Row],[次回期限値]]=0,tblCases[[#This Row],[担当一致]]=1),1,0)</f>
        <v>0</v>
      </c>
      <c r="AR53" s="61">
        <f>INT(N(tblCases[[#This Row],[最新接点値]]))*100000+N(tblCases[[#This Row],[ID番号]])</f>
        <v>0</v>
      </c>
      <c r="AS53" s="61" t="str">
        <f>IF(tblCases[[#This Row],[未設定対象]]=1,COUNTIFS(tblCases[未設定対象],1,tblCases[並びキー],"&lt;"&amp;tblCases[[#This Row],[並びキー]])+1,"")</f>
        <v/>
      </c>
      <c r="AT53" s="61" t="str">
        <f>IFERROR(VALUE(MID(tblCases[[#This Row],[案件ID]],2,20)),"")</f>
        <v/>
      </c>
    </row>
    <row r="54">
      <c r="A54" s="49" t="n"/>
      <c r="B54" s="49" t="n"/>
      <c r="C54" s="50" t="str">
        <f>IF(tblCases[[#This Row],[顧客ID]]="","",IFERROR(INDEX(tblCustomers[会社名],MATCH(tblCases[[#This Row],[顧客ID]],tblCustomers[顧客ID],0))&amp;"","（未登録の顧客ID）"))</f>
        <v/>
      </c>
      <c r="D54" s="51" t="n"/>
      <c r="E54" s="52" t="n"/>
      <c r="F54" s="52" t="n"/>
      <c r="G54" s="52" t="n"/>
      <c r="H54" s="50" t="str">
        <f>IF(tblCases[[#This Row],[案件ID]]="","",IF(tblCases[[#This Row],[状態区分]]="終了","対象外："&amp;IF(tblCases[[#This Row],[段階区分]]="終了",tblCases[[#This Row],[営業段階]],tblCases[[#This Row],[追客状態]]),IF(tblCases[[#This Row],[状態区分]]="停止","連絡停止中"&amp;IF(tblCases[[#This Row],[社内確認残]]&gt;0,"（社内確認あり）",""),_xlfn.TEXTJOIN("／",TRUE,IF(tblCases[[#This Row],[入力チェック]]&lt;&gt;"","入力要確認",""),IF(AND(tblCases[[#This Row],[次回期限値]]&gt;0,INT(tblCases[[#This Row],[次回期限値]])&lt;RefDate),"期限超過",""),IF(AND(tblCases[[#This Row],[次回期限値]]&gt;0,INT(tblCases[[#This Row],[次回期限値]])=RefDate),"本日対応",""),IF(tblCases[[#This Row],[次回期限値]]=0,"次回対応未設定",""),IF(tblCases[[#This Row],[期限なし数]]&gt;0,"期限未設定あり",""),IF(tblCases[[#This Row],[最新接点値]]=0,"未接触／履歴なし",""),IF(AND(tblCases[[#This Row],[状態区分]]="進行",tblCases[[#This Row],[最新接点値]]&gt;0,N(tblCases[[#This Row],[接点からの日数]])&gt;=StaleDays),"接点から"&amp;tblCases[[#This Row],[接点からの日数]]&amp;"日",""),IF(tblCases[[#This Row],[状態区分]]="待機","待機："&amp;tblCases[[#This Row],[追客状態]],"")))))</f>
        <v/>
      </c>
      <c r="I54" s="53" t="str">
        <f>IF(tblCases[[#This Row],[案件ID]]="","",IF(tblCases[[#This Row],[最新会話値]]=0,"なし",tblCases[[#This Row],[最新会話値]]))</f>
        <v/>
      </c>
      <c r="J54" s="53" t="str">
        <f>IF(tblCases[[#This Row],[案件ID]]="","",IF(tblCases[[#This Row],[最新接点値]]=0,"履歴なし",tblCases[[#This Row],[最新接点値]]))</f>
        <v/>
      </c>
      <c r="K54" s="54" t="str">
        <f>IF(OR(tblCases[[#This Row],[案件ID]]="",tblCases[[#This Row],[最新接点値]]=0),"",RefDate-INT(tblCases[[#This Row],[最新接点値]]))</f>
        <v/>
      </c>
      <c r="L54" s="50" t="str">
        <f>IF(tblCases[[#This Row],[案件ID]]="","",IF(tblCases[[#This Row],[次回行]]&lt;&gt;"",IF(INDEX(tblTasks[区分],tblCases[[#This Row],[次回行]])="社内確認","社内：","連絡：")&amp;INDEX(tblTasks[内容],tblCases[[#This Row],[次回行]]),IF(tblCases[[#This Row],[進行中]]=0,"—",IF(tblCases[[#This Row],[期限なし数]]&gt;0,"（期限未設定のタスクあり）","（未設定）"))))</f>
        <v/>
      </c>
      <c r="M54" s="55" t="str">
        <f>IF(tblCases[[#This Row],[次回行]]="","",INDEX(tblTasks[担当者],tblCases[[#This Row],[次回行]])&amp;"")</f>
        <v/>
      </c>
      <c r="N54" s="56" t="str">
        <f>IF(tblCases[[#This Row],[次回行]]="","",tblCases[[#This Row],[次回期限値]])</f>
        <v/>
      </c>
      <c r="O54" s="50" t="str">
        <f>IF(tblCases[[#This Row],[案件ID]]="","",IF(tblCases[[#This Row],[最新接点値]]=0,"",IF(tblCases[[#This Row],[最新履歴行]]="","（履歴IDの形式を確認）",INDEX(tblHistory[結果],tblCases[[#This Row],[最新履歴行]])&amp;"："&amp;INDEX(tblHistory[内容],tblCases[[#This Row],[最新履歴行]]))))</f>
        <v/>
      </c>
      <c r="P54" s="49" t="n"/>
      <c r="Q54" s="57" t="str">
        <f>IF(tblCases[[#This Row],[顧客側担当者ID]]="","",IFERROR(INDEX(tblContacts[氏名],MATCH(tblCases[[#This Row],[顧客側担当者ID]],tblContacts[担当者ID],0))&amp;"","（未登録のID）"))</f>
        <v/>
      </c>
      <c r="R54" s="49" t="n"/>
      <c r="S54" s="58" t="n"/>
      <c r="T54" s="59" t="n"/>
      <c r="U54" s="60" t="n"/>
      <c r="V54" s="60" t="n"/>
      <c r="W54" s="51" t="n"/>
      <c r="X54" s="51" t="n"/>
      <c r="Y54" s="51" t="n"/>
      <c r="Z54" s="51" t="n"/>
      <c r="AA54" s="50" t="str">
        <f>IF(AND(tblCases[[#This Row],[案件ID]]="",tblCases[[#This Row],[顧客ID]]="",tblCases[[#This Row],[案件名]]=""),"",_xlfn.TEXTJOIN("／",TRUE,IF(tblCases[[#This Row],[案件ID]]="","案件IDが空欄",IF(tblCases[[#This Row],[ID番号]]="","案件IDの形式（英字1字＋数字）","")),IF(AND(tblCases[[#This Row],[案件ID]]&lt;&gt;"",COUNTIF(tblCases[案件ID],tblCases[[#This Row],[案件ID]])&gt;1),"案件IDが重複",""),IF(tblCases[[#This Row],[顧客ID]]="","顧客IDが空欄",IF(COUNTIF(tblCustomers[顧客ID],tblCases[[#This Row],[顧客ID]])=0,"未登録の顧客ID","")),IF(tblCases[[#This Row],[案件名]]="","案件名が空欄",""),IF(tblCases[[#This Row],[社内担当]]="","社内担当が空欄",IF(COUNTIF(lst_Staff,tblCases[[#This Row],[社内担当]])=0,"社内担当が候補外","")),IF(tblCases[[#This Row],[営業段階]]="","営業段階が空欄",IF(tblCases[[#This Row],[段階区分]]="候補外","営業段階が候補外","")),IF(tblCases[[#This Row],[追客状態]]="","追客状態が空欄",IF(tblCases[[#This Row],[追客区分]]="候補外","追客状態が候補外","")),IF(AND(tblCases[[#This Row],[顧客側担当者ID]]&lt;&gt;"",COUNTIFS(tblContacts[担当者ID],tblCases[[#This Row],[顧客側担当者ID]],tblContacts[顧客ID],tblCases[[#This Row],[顧客ID]])=0),"顧客側担当者IDが未登録か別顧客",""),IF(AND(tblCases[[#This Row],[営業段階]]="受注",tblCases[[#This Row],[受注額（円）]]=""),"受注額が未入力","")))</f>
        <v/>
      </c>
      <c r="AB54" s="61" t="str">
        <f>IF(tblCases[[#This Row],[営業段階]]="","",IFERROR(INDEX(lst_StageKind,MATCH(tblCases[[#This Row],[営業段階]],lst_Stage,0))&amp;"","候補外"))</f>
        <v/>
      </c>
      <c r="AC54" s="61" t="str">
        <f>IF(tblCases[[#This Row],[追客状態]]="","",IFERROR(INDEX(lst_StatusKind,MATCH(tblCases[[#This Row],[追客状態]],lst_Status,0))&amp;"","候補外"))</f>
        <v/>
      </c>
      <c r="AD54" s="61">
        <f>IF(tblCases[[#This Row],[案件ID]]="",0,IF(OR(tblCases[[#This Row],[追客区分]]="停止",IFERROR(INDEX(tblCustomers[連絡可否],MATCH(tblCases[[#This Row],[顧客ID]],tblCustomers[顧客ID],0))&amp;"","")="停止"),1,0))</f>
        <v>0</v>
      </c>
      <c r="AE54" s="61" t="str">
        <f>IF(tblCases[[#This Row],[案件ID]]="","",IF(OR(tblCases[[#This Row],[段階区分]]="終了",tblCases[[#This Row],[追客区分]]="終了"),"終了",IF(tblCases[[#This Row],[連絡停止]]=1,"停止",IF(tblCases[[#This Row],[追客区分]]="待機","待機","進行"))))</f>
        <v/>
      </c>
      <c r="AF54" s="61">
        <f>IF(AND(tblCases[[#This Row],[案件ID]]&lt;&gt;"",OR(tblCases[[#This Row],[状態区分]]="進行",tblCases[[#This Row],[状態区分]]="待機")),1,0)</f>
        <v>0</v>
      </c>
      <c r="AG54" s="62">
        <f>IF(tblCases[[#This Row],[案件ID]]="",0,_xlfn.MAXIFS(tblHistory[実施日時],tblHistory[案件ID],tblCases[[#This Row],[案件ID]],tblHistory[集計対象],1))</f>
        <v>0.0</v>
      </c>
      <c r="AH54" s="62">
        <f>IF(tblCases[[#This Row],[案件ID]]="",0,_xlfn.MAXIFS(tblHistory[実施日時],tblHistory[案件ID],tblCases[[#This Row],[案件ID]],tblHistory[集計対象],1,tblHistory[実接点],1))</f>
        <v>0.0</v>
      </c>
      <c r="AI54" s="61" t="str">
        <f>IF(tblCases[[#This Row],[最新接点値]]=0,"",_xlfn.MAXIFS(tblHistory[ID番号],tblHistory[案件ID],tblCases[[#This Row],[案件ID]],tblHistory[実施日時],tblCases[[#This Row],[最新接点値]],tblHistory[集計対象],1))</f>
        <v/>
      </c>
      <c r="AJ54" s="61" t="str">
        <f>IF(N(tblCases[[#This Row],[最新ID番号]])=0,"",IFERROR(MATCH(tblCases[[#This Row],[案件ID]]&amp;"|"&amp;tblCases[[#This Row],[最新ID番号]],tblHistory[照合キー],0),""))</f>
        <v/>
      </c>
      <c r="AK54" s="63">
        <f>IF(tblCases[[#This Row],[案件ID]]="",0,_xlfn.MINIFS(tblTasks[期限日],tblTasks[案件ID],tblCases[[#This Row],[案件ID]],tblTasks[次回候補],1))</f>
        <v>0.0</v>
      </c>
      <c r="AL54" s="61" t="str">
        <f>IF(tblCases[[#This Row],[次回期限値]]=0,"",_xlfn.MINIFS(tblTasks[ID番号],tblTasks[案件ID],tblCases[[#This Row],[案件ID]],tblTasks[期限日],tblCases[[#This Row],[次回期限値]],tblTasks[次回候補],1))</f>
        <v/>
      </c>
      <c r="AM54" s="61" t="str">
        <f>IF(N(tblCases[[#This Row],[次回ID番号]])=0,"",IFERROR(MATCH(tblCases[[#This Row],[案件ID]]&amp;"|"&amp;tblCases[[#This Row],[次回ID番号]],tblTasks[照合キー],0),""))</f>
        <v/>
      </c>
      <c r="AN54" s="61">
        <f>IF(tblCases[[#This Row],[案件ID]]="",0,COUNTIFS(tblTasks[案件ID],tblCases[[#This Row],[案件ID]],tblTasks[表示区分],"期限未設定"))</f>
        <v>0</v>
      </c>
      <c r="AO54" s="61">
        <f>IF(tblCases[[#This Row],[案件ID]]="",0,COUNTIFS(tblTasks[案件ID],tblCases[[#This Row],[案件ID]],tblTasks[未完了],1,tblTasks[区分],"社内確認"))</f>
        <v>0</v>
      </c>
      <c r="AP54" s="61">
        <f>IF(OR(HomeStaff="",HomeStaff="全員",HomeStaff=tblCases[[#This Row],[社内担当]]),1,0)</f>
        <v>1</v>
      </c>
      <c r="AQ54" s="61">
        <f>IF(AND(tblCases[[#This Row],[進行中]]=1,tblCases[[#This Row],[次回期限値]]=0,tblCases[[#This Row],[担当一致]]=1),1,0)</f>
        <v>0</v>
      </c>
      <c r="AR54" s="61">
        <f>INT(N(tblCases[[#This Row],[最新接点値]]))*100000+N(tblCases[[#This Row],[ID番号]])</f>
        <v>0</v>
      </c>
      <c r="AS54" s="61" t="str">
        <f>IF(tblCases[[#This Row],[未設定対象]]=1,COUNTIFS(tblCases[未設定対象],1,tblCases[並びキー],"&lt;"&amp;tblCases[[#This Row],[並びキー]])+1,"")</f>
        <v/>
      </c>
      <c r="AT54" s="61" t="str">
        <f>IFERROR(VALUE(MID(tblCases[[#This Row],[案件ID]],2,20)),"")</f>
        <v/>
      </c>
    </row>
  </sheetData>
  <conditionalFormatting sqref="AA6:AA2000">
    <cfRule type="expression" priority="1" dxfId="2" stopIfTrue="1">
      <formula>$AA6&lt;&gt;""</formula>
    </cfRule>
  </conditionalFormatting>
  <conditionalFormatting sqref="H6:H2000">
    <cfRule type="expression" priority="2" dxfId="3" stopIfTrue="1">
      <formula>ISNUMBER(SEARCH("期限超過",$H6))</formula>
    </cfRule>
    <cfRule type="expression" priority="3" dxfId="4" stopIfTrue="1">
      <formula>ISNUMBER(SEARCH("本日",$H6))</formula>
    </cfRule>
    <cfRule type="expression" priority="4" dxfId="2" stopIfTrue="1">
      <formula>OR(ISNUMBER(SEARCH("未設定",$H6)),ISNUMBER(SEARCH("要確認",$H6)),ISNUMBER(SEARCH("停止",$H6)))</formula>
    </cfRule>
    <cfRule type="expression" priority="5" dxfId="5" stopIfTrue="1">
      <formula>LEFT($H6,3)="対象外"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=dv_CustomerID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=dv_Stage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=dv_Status</formula1>
    </dataValidation>
    <dataValidation sqref="P6:P2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=dv_ContactID</formula1>
    </dataValidation>
    <dataValidation sqref="T6:T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O1" location="'01_ホーム'!A1" display="← ホームへ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R10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20" customWidth="1" min="4" max="4"/>
    <col width="16" customWidth="1" min="5" max="5"/>
    <col width="12" customWidth="1" min="6" max="6"/>
    <col width="11" customWidth="1" min="7" max="7"/>
    <col width="11" customWidth="1" min="8" max="8"/>
    <col width="7" customWidth="1" min="9" max="9"/>
    <col width="8" customWidth="1" min="10" max="10"/>
    <col width="34" customWidth="1" min="11" max="11"/>
    <col width="26" customWidth="1" min="12" max="12"/>
    <col width="22" customWidth="1" min="13" max="13"/>
    <col width="22" customWidth="1" min="14" max="14"/>
    <col width="7" customWidth="1" min="15" max="15"/>
    <col width="11" customWidth="1" min="16" max="16"/>
    <col width="6" customWidth="1" min="17" max="17"/>
    <col width="6" customWidth="1" min="18" max="18"/>
  </cols>
  <sheetData>
    <row r="1" ht="30" customHeight="1">
      <c r="A1" s="1" t="inlineStr">
        <is>
          <t>連絡履歴（1行＝実際に行った1回の接点）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6" t="inlineStr">
        <is>
          <t>← ホームへ</t>
        </is>
      </c>
    </row>
    <row r="2" ht="20" customHeight="1">
      <c r="A2" s="4" t="inlineStr">
        <is>
          <t>予定は書かず 04_対応タスク へ。過去の行は上書きせず、追記して残します。不通・送信のみも記録します。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次の履歴ID候補</t>
        </is>
      </c>
      <c r="I3" s="44" t="str">
        <f>"H"&amp;TEXT(MAX(0,MAX(tblHistory[ID番号]))+1,"00000")</f>
        <v>H00001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履歴ID</t>
        </is>
      </c>
      <c r="B5" s="46" t="inlineStr">
        <is>
          <t>案件ID</t>
        </is>
      </c>
      <c r="C5" s="47" t="inlineStr">
        <is>
          <t>顧客名</t>
        </is>
      </c>
      <c r="D5" s="47" t="inlineStr">
        <is>
          <t>案件名</t>
        </is>
      </c>
      <c r="E5" s="46" t="inlineStr">
        <is>
          <t>実施日時</t>
        </is>
      </c>
      <c r="F5" s="46" t="inlineStr">
        <is>
          <t>チャネル</t>
        </is>
      </c>
      <c r="G5" s="46" t="inlineStr">
        <is>
          <t>方向</t>
        </is>
      </c>
      <c r="H5" s="46" t="inlineStr">
        <is>
          <t>結果</t>
        </is>
      </c>
      <c r="I5" s="47" t="inlineStr">
        <is>
          <t>会話・返信</t>
        </is>
      </c>
      <c r="J5" s="46" t="inlineStr">
        <is>
          <t>記録者</t>
        </is>
      </c>
      <c r="K5" s="46" t="inlineStr">
        <is>
          <t>内容</t>
        </is>
      </c>
      <c r="L5" s="46" t="inlineStr">
        <is>
          <t>顧客発言</t>
        </is>
      </c>
      <c r="M5" s="46" t="inlineStr">
        <is>
          <t>社内メモ</t>
        </is>
      </c>
      <c r="N5" s="47" t="inlineStr">
        <is>
          <t>入力チェック</t>
        </is>
      </c>
      <c r="O5" s="48" t="inlineStr">
        <is>
          <t>ID番号</t>
        </is>
      </c>
      <c r="P5" s="48" t="inlineStr">
        <is>
          <t>照合キー</t>
        </is>
      </c>
      <c r="Q5" s="48" t="inlineStr">
        <is>
          <t>実接点</t>
        </is>
      </c>
      <c r="R5" s="48" t="inlineStr">
        <is>
          <t>集計対象</t>
        </is>
      </c>
    </row>
    <row r="6">
      <c r="A6" s="49" t="n"/>
      <c r="B6" s="49" t="n"/>
      <c r="C6" s="50" t="str">
        <f>IF(tblHistory[[#This Row],[案件ID]]="","",IFERROR(INDEX(tblCases[顧客名],MATCH(tblHistory[[#This Row],[案件ID]],tblCases[案件ID],0))&amp;"","（未登録の案件ID）"))</f>
        <v/>
      </c>
      <c r="D6" s="50" t="str">
        <f>IF(tblHistory[[#This Row],[案件ID]]="","",IFERROR(INDEX(tblCases[案件名],MATCH(tblHistory[[#This Row],[案件ID]],tblCases[案件ID],0))&amp;"",""))</f>
        <v/>
      </c>
      <c r="E6" s="64" t="n"/>
      <c r="F6" s="52" t="n"/>
      <c r="G6" s="52" t="n"/>
      <c r="H6" s="52" t="n"/>
      <c r="I6" s="55" t="str">
        <f>IF(tblHistory[[#This Row],[結果]]="","",IF(tblHistory[[#This Row],[実接点]]=1,"○","—"))</f>
        <v/>
      </c>
      <c r="J6" s="52" t="n"/>
      <c r="K6" s="51" t="n"/>
      <c r="L6" s="51" t="n"/>
      <c r="M6" s="51" t="n"/>
      <c r="N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" s="61" t="str">
        <f>IFERROR(VALUE(MID(tblHistory[[#This Row],[履歴ID]],2,20)),"")</f>
        <v/>
      </c>
      <c r="P6" s="61" t="str">
        <f>tblHistory[[#This Row],[案件ID]]&amp;"|"&amp;tblHistory[[#This Row],[ID番号]]</f>
        <v>|</v>
      </c>
      <c r="Q6" s="61">
        <f>IF(tblHistory[[#This Row],[結果]]="",0,IFERROR(IF(INDEX(lst_ResultReal,MATCH(tblHistory[[#This Row],[結果]],lst_Result,0))=1,1,0),0))</f>
        <v>0</v>
      </c>
      <c r="R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">
      <c r="A7" s="49" t="n"/>
      <c r="B7" s="49" t="n"/>
      <c r="C7" s="50" t="str">
        <f>IF(tblHistory[[#This Row],[案件ID]]="","",IFERROR(INDEX(tblCases[顧客名],MATCH(tblHistory[[#This Row],[案件ID]],tblCases[案件ID],0))&amp;"","（未登録の案件ID）"))</f>
        <v/>
      </c>
      <c r="D7" s="50" t="str">
        <f>IF(tblHistory[[#This Row],[案件ID]]="","",IFERROR(INDEX(tblCases[案件名],MATCH(tblHistory[[#This Row],[案件ID]],tblCases[案件ID],0))&amp;"",""))</f>
        <v/>
      </c>
      <c r="E7" s="64" t="n"/>
      <c r="F7" s="52" t="n"/>
      <c r="G7" s="52" t="n"/>
      <c r="H7" s="52" t="n"/>
      <c r="I7" s="55" t="str">
        <f>IF(tblHistory[[#This Row],[結果]]="","",IF(tblHistory[[#This Row],[実接点]]=1,"○","—"))</f>
        <v/>
      </c>
      <c r="J7" s="52" t="n"/>
      <c r="K7" s="51" t="n"/>
      <c r="L7" s="51" t="n"/>
      <c r="M7" s="51" t="n"/>
      <c r="N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" s="61" t="str">
        <f>IFERROR(VALUE(MID(tblHistory[[#This Row],[履歴ID]],2,20)),"")</f>
        <v/>
      </c>
      <c r="P7" s="61" t="str">
        <f>tblHistory[[#This Row],[案件ID]]&amp;"|"&amp;tblHistory[[#This Row],[ID番号]]</f>
        <v>|</v>
      </c>
      <c r="Q7" s="61">
        <f>IF(tblHistory[[#This Row],[結果]]="",0,IFERROR(IF(INDEX(lst_ResultReal,MATCH(tblHistory[[#This Row],[結果]],lst_Result,0))=1,1,0),0))</f>
        <v>0</v>
      </c>
      <c r="R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">
      <c r="A8" s="49" t="n"/>
      <c r="B8" s="49" t="n"/>
      <c r="C8" s="50" t="str">
        <f>IF(tblHistory[[#This Row],[案件ID]]="","",IFERROR(INDEX(tblCases[顧客名],MATCH(tblHistory[[#This Row],[案件ID]],tblCases[案件ID],0))&amp;"","（未登録の案件ID）"))</f>
        <v/>
      </c>
      <c r="D8" s="50" t="str">
        <f>IF(tblHistory[[#This Row],[案件ID]]="","",IFERROR(INDEX(tblCases[案件名],MATCH(tblHistory[[#This Row],[案件ID]],tblCases[案件ID],0))&amp;"",""))</f>
        <v/>
      </c>
      <c r="E8" s="64" t="n"/>
      <c r="F8" s="52" t="n"/>
      <c r="G8" s="52" t="n"/>
      <c r="H8" s="52" t="n"/>
      <c r="I8" s="55" t="str">
        <f>IF(tblHistory[[#This Row],[結果]]="","",IF(tblHistory[[#This Row],[実接点]]=1,"○","—"))</f>
        <v/>
      </c>
      <c r="J8" s="52" t="n"/>
      <c r="K8" s="51" t="n"/>
      <c r="L8" s="51" t="n"/>
      <c r="M8" s="51" t="n"/>
      <c r="N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" s="61" t="str">
        <f>IFERROR(VALUE(MID(tblHistory[[#This Row],[履歴ID]],2,20)),"")</f>
        <v/>
      </c>
      <c r="P8" s="61" t="str">
        <f>tblHistory[[#This Row],[案件ID]]&amp;"|"&amp;tblHistory[[#This Row],[ID番号]]</f>
        <v>|</v>
      </c>
      <c r="Q8" s="61">
        <f>IF(tblHistory[[#This Row],[結果]]="",0,IFERROR(IF(INDEX(lst_ResultReal,MATCH(tblHistory[[#This Row],[結果]],lst_Result,0))=1,1,0),0))</f>
        <v>0</v>
      </c>
      <c r="R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">
      <c r="A9" s="49" t="n"/>
      <c r="B9" s="49" t="n"/>
      <c r="C9" s="50" t="str">
        <f>IF(tblHistory[[#This Row],[案件ID]]="","",IFERROR(INDEX(tblCases[顧客名],MATCH(tblHistory[[#This Row],[案件ID]],tblCases[案件ID],0))&amp;"","（未登録の案件ID）"))</f>
        <v/>
      </c>
      <c r="D9" s="50" t="str">
        <f>IF(tblHistory[[#This Row],[案件ID]]="","",IFERROR(INDEX(tblCases[案件名],MATCH(tblHistory[[#This Row],[案件ID]],tblCases[案件ID],0))&amp;"",""))</f>
        <v/>
      </c>
      <c r="E9" s="64" t="n"/>
      <c r="F9" s="52" t="n"/>
      <c r="G9" s="52" t="n"/>
      <c r="H9" s="52" t="n"/>
      <c r="I9" s="55" t="str">
        <f>IF(tblHistory[[#This Row],[結果]]="","",IF(tblHistory[[#This Row],[実接点]]=1,"○","—"))</f>
        <v/>
      </c>
      <c r="J9" s="52" t="n"/>
      <c r="K9" s="51" t="n"/>
      <c r="L9" s="51" t="n"/>
      <c r="M9" s="51" t="n"/>
      <c r="N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" s="61" t="str">
        <f>IFERROR(VALUE(MID(tblHistory[[#This Row],[履歴ID]],2,20)),"")</f>
        <v/>
      </c>
      <c r="P9" s="61" t="str">
        <f>tblHistory[[#This Row],[案件ID]]&amp;"|"&amp;tblHistory[[#This Row],[ID番号]]</f>
        <v>|</v>
      </c>
      <c r="Q9" s="61">
        <f>IF(tblHistory[[#This Row],[結果]]="",0,IFERROR(IF(INDEX(lst_ResultReal,MATCH(tblHistory[[#This Row],[結果]],lst_Result,0))=1,1,0),0))</f>
        <v>0</v>
      </c>
      <c r="R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">
      <c r="A10" s="49" t="n"/>
      <c r="B10" s="49" t="n"/>
      <c r="C10" s="50" t="str">
        <f>IF(tblHistory[[#This Row],[案件ID]]="","",IFERROR(INDEX(tblCases[顧客名],MATCH(tblHistory[[#This Row],[案件ID]],tblCases[案件ID],0))&amp;"","（未登録の案件ID）"))</f>
        <v/>
      </c>
      <c r="D10" s="50" t="str">
        <f>IF(tblHistory[[#This Row],[案件ID]]="","",IFERROR(INDEX(tblCases[案件名],MATCH(tblHistory[[#This Row],[案件ID]],tblCases[案件ID],0))&amp;"",""))</f>
        <v/>
      </c>
      <c r="E10" s="64" t="n"/>
      <c r="F10" s="52" t="n"/>
      <c r="G10" s="52" t="n"/>
      <c r="H10" s="52" t="n"/>
      <c r="I10" s="55" t="str">
        <f>IF(tblHistory[[#This Row],[結果]]="","",IF(tblHistory[[#This Row],[実接点]]=1,"○","—"))</f>
        <v/>
      </c>
      <c r="J10" s="52" t="n"/>
      <c r="K10" s="51" t="n"/>
      <c r="L10" s="51" t="n"/>
      <c r="M10" s="51" t="n"/>
      <c r="N1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" s="61" t="str">
        <f>IFERROR(VALUE(MID(tblHistory[[#This Row],[履歴ID]],2,20)),"")</f>
        <v/>
      </c>
      <c r="P10" s="61" t="str">
        <f>tblHistory[[#This Row],[案件ID]]&amp;"|"&amp;tblHistory[[#This Row],[ID番号]]</f>
        <v>|</v>
      </c>
      <c r="Q10" s="61">
        <f>IF(tblHistory[[#This Row],[結果]]="",0,IFERROR(IF(INDEX(lst_ResultReal,MATCH(tblHistory[[#This Row],[結果]],lst_Result,0))=1,1,0),0))</f>
        <v>0</v>
      </c>
      <c r="R1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1">
      <c r="A11" s="49" t="n"/>
      <c r="B11" s="49" t="n"/>
      <c r="C11" s="50" t="str">
        <f>IF(tblHistory[[#This Row],[案件ID]]="","",IFERROR(INDEX(tblCases[顧客名],MATCH(tblHistory[[#This Row],[案件ID]],tblCases[案件ID],0))&amp;"","（未登録の案件ID）"))</f>
        <v/>
      </c>
      <c r="D11" s="50" t="str">
        <f>IF(tblHistory[[#This Row],[案件ID]]="","",IFERROR(INDEX(tblCases[案件名],MATCH(tblHistory[[#This Row],[案件ID]],tblCases[案件ID],0))&amp;"",""))</f>
        <v/>
      </c>
      <c r="E11" s="64" t="n"/>
      <c r="F11" s="52" t="n"/>
      <c r="G11" s="52" t="n"/>
      <c r="H11" s="52" t="n"/>
      <c r="I11" s="55" t="str">
        <f>IF(tblHistory[[#This Row],[結果]]="","",IF(tblHistory[[#This Row],[実接点]]=1,"○","—"))</f>
        <v/>
      </c>
      <c r="J11" s="52" t="n"/>
      <c r="K11" s="51" t="n"/>
      <c r="L11" s="51" t="n"/>
      <c r="M11" s="51" t="n"/>
      <c r="N1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1" s="61" t="str">
        <f>IFERROR(VALUE(MID(tblHistory[[#This Row],[履歴ID]],2,20)),"")</f>
        <v/>
      </c>
      <c r="P11" s="61" t="str">
        <f>tblHistory[[#This Row],[案件ID]]&amp;"|"&amp;tblHistory[[#This Row],[ID番号]]</f>
        <v>|</v>
      </c>
      <c r="Q11" s="61">
        <f>IF(tblHistory[[#This Row],[結果]]="",0,IFERROR(IF(INDEX(lst_ResultReal,MATCH(tblHistory[[#This Row],[結果]],lst_Result,0))=1,1,0),0))</f>
        <v>0</v>
      </c>
      <c r="R1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2">
      <c r="A12" s="49" t="n"/>
      <c r="B12" s="49" t="n"/>
      <c r="C12" s="50" t="str">
        <f>IF(tblHistory[[#This Row],[案件ID]]="","",IFERROR(INDEX(tblCases[顧客名],MATCH(tblHistory[[#This Row],[案件ID]],tblCases[案件ID],0))&amp;"","（未登録の案件ID）"))</f>
        <v/>
      </c>
      <c r="D12" s="50" t="str">
        <f>IF(tblHistory[[#This Row],[案件ID]]="","",IFERROR(INDEX(tblCases[案件名],MATCH(tblHistory[[#This Row],[案件ID]],tblCases[案件ID],0))&amp;"",""))</f>
        <v/>
      </c>
      <c r="E12" s="64" t="n"/>
      <c r="F12" s="52" t="n"/>
      <c r="G12" s="52" t="n"/>
      <c r="H12" s="52" t="n"/>
      <c r="I12" s="55" t="str">
        <f>IF(tblHistory[[#This Row],[結果]]="","",IF(tblHistory[[#This Row],[実接点]]=1,"○","—"))</f>
        <v/>
      </c>
      <c r="J12" s="52" t="n"/>
      <c r="K12" s="51" t="n"/>
      <c r="L12" s="51" t="n"/>
      <c r="M12" s="51" t="n"/>
      <c r="N1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2" s="61" t="str">
        <f>IFERROR(VALUE(MID(tblHistory[[#This Row],[履歴ID]],2,20)),"")</f>
        <v/>
      </c>
      <c r="P12" s="61" t="str">
        <f>tblHistory[[#This Row],[案件ID]]&amp;"|"&amp;tblHistory[[#This Row],[ID番号]]</f>
        <v>|</v>
      </c>
      <c r="Q12" s="61">
        <f>IF(tblHistory[[#This Row],[結果]]="",0,IFERROR(IF(INDEX(lst_ResultReal,MATCH(tblHistory[[#This Row],[結果]],lst_Result,0))=1,1,0),0))</f>
        <v>0</v>
      </c>
      <c r="R1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3">
      <c r="A13" s="49" t="n"/>
      <c r="B13" s="49" t="n"/>
      <c r="C13" s="50" t="str">
        <f>IF(tblHistory[[#This Row],[案件ID]]="","",IFERROR(INDEX(tblCases[顧客名],MATCH(tblHistory[[#This Row],[案件ID]],tblCases[案件ID],0))&amp;"","（未登録の案件ID）"))</f>
        <v/>
      </c>
      <c r="D13" s="50" t="str">
        <f>IF(tblHistory[[#This Row],[案件ID]]="","",IFERROR(INDEX(tblCases[案件名],MATCH(tblHistory[[#This Row],[案件ID]],tblCases[案件ID],0))&amp;"",""))</f>
        <v/>
      </c>
      <c r="E13" s="64" t="n"/>
      <c r="F13" s="52" t="n"/>
      <c r="G13" s="52" t="n"/>
      <c r="H13" s="52" t="n"/>
      <c r="I13" s="55" t="str">
        <f>IF(tblHistory[[#This Row],[結果]]="","",IF(tblHistory[[#This Row],[実接点]]=1,"○","—"))</f>
        <v/>
      </c>
      <c r="J13" s="52" t="n"/>
      <c r="K13" s="51" t="n"/>
      <c r="L13" s="51" t="n"/>
      <c r="M13" s="51" t="n"/>
      <c r="N1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3" s="61" t="str">
        <f>IFERROR(VALUE(MID(tblHistory[[#This Row],[履歴ID]],2,20)),"")</f>
        <v/>
      </c>
      <c r="P13" s="61" t="str">
        <f>tblHistory[[#This Row],[案件ID]]&amp;"|"&amp;tblHistory[[#This Row],[ID番号]]</f>
        <v>|</v>
      </c>
      <c r="Q13" s="61">
        <f>IF(tblHistory[[#This Row],[結果]]="",0,IFERROR(IF(INDEX(lst_ResultReal,MATCH(tblHistory[[#This Row],[結果]],lst_Result,0))=1,1,0),0))</f>
        <v>0</v>
      </c>
      <c r="R1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4">
      <c r="A14" s="49" t="n"/>
      <c r="B14" s="49" t="n"/>
      <c r="C14" s="50" t="str">
        <f>IF(tblHistory[[#This Row],[案件ID]]="","",IFERROR(INDEX(tblCases[顧客名],MATCH(tblHistory[[#This Row],[案件ID]],tblCases[案件ID],0))&amp;"","（未登録の案件ID）"))</f>
        <v/>
      </c>
      <c r="D14" s="50" t="str">
        <f>IF(tblHistory[[#This Row],[案件ID]]="","",IFERROR(INDEX(tblCases[案件名],MATCH(tblHistory[[#This Row],[案件ID]],tblCases[案件ID],0))&amp;"",""))</f>
        <v/>
      </c>
      <c r="E14" s="64" t="n"/>
      <c r="F14" s="52" t="n"/>
      <c r="G14" s="52" t="n"/>
      <c r="H14" s="52" t="n"/>
      <c r="I14" s="55" t="str">
        <f>IF(tblHistory[[#This Row],[結果]]="","",IF(tblHistory[[#This Row],[実接点]]=1,"○","—"))</f>
        <v/>
      </c>
      <c r="J14" s="52" t="n"/>
      <c r="K14" s="51" t="n"/>
      <c r="L14" s="51" t="n"/>
      <c r="M14" s="51" t="n"/>
      <c r="N1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4" s="61" t="str">
        <f>IFERROR(VALUE(MID(tblHistory[[#This Row],[履歴ID]],2,20)),"")</f>
        <v/>
      </c>
      <c r="P14" s="61" t="str">
        <f>tblHistory[[#This Row],[案件ID]]&amp;"|"&amp;tblHistory[[#This Row],[ID番号]]</f>
        <v>|</v>
      </c>
      <c r="Q14" s="61">
        <f>IF(tblHistory[[#This Row],[結果]]="",0,IFERROR(IF(INDEX(lst_ResultReal,MATCH(tblHistory[[#This Row],[結果]],lst_Result,0))=1,1,0),0))</f>
        <v>0</v>
      </c>
      <c r="R1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5">
      <c r="A15" s="49" t="n"/>
      <c r="B15" s="49" t="n"/>
      <c r="C15" s="50" t="str">
        <f>IF(tblHistory[[#This Row],[案件ID]]="","",IFERROR(INDEX(tblCases[顧客名],MATCH(tblHistory[[#This Row],[案件ID]],tblCases[案件ID],0))&amp;"","（未登録の案件ID）"))</f>
        <v/>
      </c>
      <c r="D15" s="50" t="str">
        <f>IF(tblHistory[[#This Row],[案件ID]]="","",IFERROR(INDEX(tblCases[案件名],MATCH(tblHistory[[#This Row],[案件ID]],tblCases[案件ID],0))&amp;"",""))</f>
        <v/>
      </c>
      <c r="E15" s="64" t="n"/>
      <c r="F15" s="52" t="n"/>
      <c r="G15" s="52" t="n"/>
      <c r="H15" s="52" t="n"/>
      <c r="I15" s="55" t="str">
        <f>IF(tblHistory[[#This Row],[結果]]="","",IF(tblHistory[[#This Row],[実接点]]=1,"○","—"))</f>
        <v/>
      </c>
      <c r="J15" s="52" t="n"/>
      <c r="K15" s="51" t="n"/>
      <c r="L15" s="51" t="n"/>
      <c r="M15" s="51" t="n"/>
      <c r="N1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5" s="61" t="str">
        <f>IFERROR(VALUE(MID(tblHistory[[#This Row],[履歴ID]],2,20)),"")</f>
        <v/>
      </c>
      <c r="P15" s="61" t="str">
        <f>tblHistory[[#This Row],[案件ID]]&amp;"|"&amp;tblHistory[[#This Row],[ID番号]]</f>
        <v>|</v>
      </c>
      <c r="Q15" s="61">
        <f>IF(tblHistory[[#This Row],[結果]]="",0,IFERROR(IF(INDEX(lst_ResultReal,MATCH(tblHistory[[#This Row],[結果]],lst_Result,0))=1,1,0),0))</f>
        <v>0</v>
      </c>
      <c r="R1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6">
      <c r="A16" s="49" t="n"/>
      <c r="B16" s="49" t="n"/>
      <c r="C16" s="50" t="str">
        <f>IF(tblHistory[[#This Row],[案件ID]]="","",IFERROR(INDEX(tblCases[顧客名],MATCH(tblHistory[[#This Row],[案件ID]],tblCases[案件ID],0))&amp;"","（未登録の案件ID）"))</f>
        <v/>
      </c>
      <c r="D16" s="50" t="str">
        <f>IF(tblHistory[[#This Row],[案件ID]]="","",IFERROR(INDEX(tblCases[案件名],MATCH(tblHistory[[#This Row],[案件ID]],tblCases[案件ID],0))&amp;"",""))</f>
        <v/>
      </c>
      <c r="E16" s="64" t="n"/>
      <c r="F16" s="52" t="n"/>
      <c r="G16" s="52" t="n"/>
      <c r="H16" s="52" t="n"/>
      <c r="I16" s="55" t="str">
        <f>IF(tblHistory[[#This Row],[結果]]="","",IF(tblHistory[[#This Row],[実接点]]=1,"○","—"))</f>
        <v/>
      </c>
      <c r="J16" s="52" t="n"/>
      <c r="K16" s="51" t="n"/>
      <c r="L16" s="51" t="n"/>
      <c r="M16" s="51" t="n"/>
      <c r="N1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6" s="61" t="str">
        <f>IFERROR(VALUE(MID(tblHistory[[#This Row],[履歴ID]],2,20)),"")</f>
        <v/>
      </c>
      <c r="P16" s="61" t="str">
        <f>tblHistory[[#This Row],[案件ID]]&amp;"|"&amp;tblHistory[[#This Row],[ID番号]]</f>
        <v>|</v>
      </c>
      <c r="Q16" s="61">
        <f>IF(tblHistory[[#This Row],[結果]]="",0,IFERROR(IF(INDEX(lst_ResultReal,MATCH(tblHistory[[#This Row],[結果]],lst_Result,0))=1,1,0),0))</f>
        <v>0</v>
      </c>
      <c r="R1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7">
      <c r="A17" s="49" t="n"/>
      <c r="B17" s="49" t="n"/>
      <c r="C17" s="50" t="str">
        <f>IF(tblHistory[[#This Row],[案件ID]]="","",IFERROR(INDEX(tblCases[顧客名],MATCH(tblHistory[[#This Row],[案件ID]],tblCases[案件ID],0))&amp;"","（未登録の案件ID）"))</f>
        <v/>
      </c>
      <c r="D17" s="50" t="str">
        <f>IF(tblHistory[[#This Row],[案件ID]]="","",IFERROR(INDEX(tblCases[案件名],MATCH(tblHistory[[#This Row],[案件ID]],tblCases[案件ID],0))&amp;"",""))</f>
        <v/>
      </c>
      <c r="E17" s="64" t="n"/>
      <c r="F17" s="52" t="n"/>
      <c r="G17" s="52" t="n"/>
      <c r="H17" s="52" t="n"/>
      <c r="I17" s="55" t="str">
        <f>IF(tblHistory[[#This Row],[結果]]="","",IF(tblHistory[[#This Row],[実接点]]=1,"○","—"))</f>
        <v/>
      </c>
      <c r="J17" s="52" t="n"/>
      <c r="K17" s="51" t="n"/>
      <c r="L17" s="51" t="n"/>
      <c r="M17" s="51" t="n"/>
      <c r="N1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7" s="61" t="str">
        <f>IFERROR(VALUE(MID(tblHistory[[#This Row],[履歴ID]],2,20)),"")</f>
        <v/>
      </c>
      <c r="P17" s="61" t="str">
        <f>tblHistory[[#This Row],[案件ID]]&amp;"|"&amp;tblHistory[[#This Row],[ID番号]]</f>
        <v>|</v>
      </c>
      <c r="Q17" s="61">
        <f>IF(tblHistory[[#This Row],[結果]]="",0,IFERROR(IF(INDEX(lst_ResultReal,MATCH(tblHistory[[#This Row],[結果]],lst_Result,0))=1,1,0),0))</f>
        <v>0</v>
      </c>
      <c r="R1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8">
      <c r="A18" s="49" t="n"/>
      <c r="B18" s="49" t="n"/>
      <c r="C18" s="50" t="str">
        <f>IF(tblHistory[[#This Row],[案件ID]]="","",IFERROR(INDEX(tblCases[顧客名],MATCH(tblHistory[[#This Row],[案件ID]],tblCases[案件ID],0))&amp;"","（未登録の案件ID）"))</f>
        <v/>
      </c>
      <c r="D18" s="50" t="str">
        <f>IF(tblHistory[[#This Row],[案件ID]]="","",IFERROR(INDEX(tblCases[案件名],MATCH(tblHistory[[#This Row],[案件ID]],tblCases[案件ID],0))&amp;"",""))</f>
        <v/>
      </c>
      <c r="E18" s="64" t="n"/>
      <c r="F18" s="52" t="n"/>
      <c r="G18" s="52" t="n"/>
      <c r="H18" s="52" t="n"/>
      <c r="I18" s="55" t="str">
        <f>IF(tblHistory[[#This Row],[結果]]="","",IF(tblHistory[[#This Row],[実接点]]=1,"○","—"))</f>
        <v/>
      </c>
      <c r="J18" s="52" t="n"/>
      <c r="K18" s="51" t="n"/>
      <c r="L18" s="51" t="n"/>
      <c r="M18" s="51" t="n"/>
      <c r="N1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8" s="61" t="str">
        <f>IFERROR(VALUE(MID(tblHistory[[#This Row],[履歴ID]],2,20)),"")</f>
        <v/>
      </c>
      <c r="P18" s="61" t="str">
        <f>tblHistory[[#This Row],[案件ID]]&amp;"|"&amp;tblHistory[[#This Row],[ID番号]]</f>
        <v>|</v>
      </c>
      <c r="Q18" s="61">
        <f>IF(tblHistory[[#This Row],[結果]]="",0,IFERROR(IF(INDEX(lst_ResultReal,MATCH(tblHistory[[#This Row],[結果]],lst_Result,0))=1,1,0),0))</f>
        <v>0</v>
      </c>
      <c r="R1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9">
      <c r="A19" s="49" t="n"/>
      <c r="B19" s="49" t="n"/>
      <c r="C19" s="50" t="str">
        <f>IF(tblHistory[[#This Row],[案件ID]]="","",IFERROR(INDEX(tblCases[顧客名],MATCH(tblHistory[[#This Row],[案件ID]],tblCases[案件ID],0))&amp;"","（未登録の案件ID）"))</f>
        <v/>
      </c>
      <c r="D19" s="50" t="str">
        <f>IF(tblHistory[[#This Row],[案件ID]]="","",IFERROR(INDEX(tblCases[案件名],MATCH(tblHistory[[#This Row],[案件ID]],tblCases[案件ID],0))&amp;"",""))</f>
        <v/>
      </c>
      <c r="E19" s="64" t="n"/>
      <c r="F19" s="52" t="n"/>
      <c r="G19" s="52" t="n"/>
      <c r="H19" s="52" t="n"/>
      <c r="I19" s="55" t="str">
        <f>IF(tblHistory[[#This Row],[結果]]="","",IF(tblHistory[[#This Row],[実接点]]=1,"○","—"))</f>
        <v/>
      </c>
      <c r="J19" s="52" t="n"/>
      <c r="K19" s="51" t="n"/>
      <c r="L19" s="51" t="n"/>
      <c r="M19" s="51" t="n"/>
      <c r="N1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9" s="61" t="str">
        <f>IFERROR(VALUE(MID(tblHistory[[#This Row],[履歴ID]],2,20)),"")</f>
        <v/>
      </c>
      <c r="P19" s="61" t="str">
        <f>tblHistory[[#This Row],[案件ID]]&amp;"|"&amp;tblHistory[[#This Row],[ID番号]]</f>
        <v>|</v>
      </c>
      <c r="Q19" s="61">
        <f>IF(tblHistory[[#This Row],[結果]]="",0,IFERROR(IF(INDEX(lst_ResultReal,MATCH(tblHistory[[#This Row],[結果]],lst_Result,0))=1,1,0),0))</f>
        <v>0</v>
      </c>
      <c r="R1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0">
      <c r="A20" s="49" t="n"/>
      <c r="B20" s="49" t="n"/>
      <c r="C20" s="50" t="str">
        <f>IF(tblHistory[[#This Row],[案件ID]]="","",IFERROR(INDEX(tblCases[顧客名],MATCH(tblHistory[[#This Row],[案件ID]],tblCases[案件ID],0))&amp;"","（未登録の案件ID）"))</f>
        <v/>
      </c>
      <c r="D20" s="50" t="str">
        <f>IF(tblHistory[[#This Row],[案件ID]]="","",IFERROR(INDEX(tblCases[案件名],MATCH(tblHistory[[#This Row],[案件ID]],tblCases[案件ID],0))&amp;"",""))</f>
        <v/>
      </c>
      <c r="E20" s="64" t="n"/>
      <c r="F20" s="52" t="n"/>
      <c r="G20" s="52" t="n"/>
      <c r="H20" s="52" t="n"/>
      <c r="I20" s="55" t="str">
        <f>IF(tblHistory[[#This Row],[結果]]="","",IF(tblHistory[[#This Row],[実接点]]=1,"○","—"))</f>
        <v/>
      </c>
      <c r="J20" s="52" t="n"/>
      <c r="K20" s="51" t="n"/>
      <c r="L20" s="51" t="n"/>
      <c r="M20" s="51" t="n"/>
      <c r="N2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0" s="61" t="str">
        <f>IFERROR(VALUE(MID(tblHistory[[#This Row],[履歴ID]],2,20)),"")</f>
        <v/>
      </c>
      <c r="P20" s="61" t="str">
        <f>tblHistory[[#This Row],[案件ID]]&amp;"|"&amp;tblHistory[[#This Row],[ID番号]]</f>
        <v>|</v>
      </c>
      <c r="Q20" s="61">
        <f>IF(tblHistory[[#This Row],[結果]]="",0,IFERROR(IF(INDEX(lst_ResultReal,MATCH(tblHistory[[#This Row],[結果]],lst_Result,0))=1,1,0),0))</f>
        <v>0</v>
      </c>
      <c r="R2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1">
      <c r="A21" s="49" t="n"/>
      <c r="B21" s="49" t="n"/>
      <c r="C21" s="50" t="str">
        <f>IF(tblHistory[[#This Row],[案件ID]]="","",IFERROR(INDEX(tblCases[顧客名],MATCH(tblHistory[[#This Row],[案件ID]],tblCases[案件ID],0))&amp;"","（未登録の案件ID）"))</f>
        <v/>
      </c>
      <c r="D21" s="50" t="str">
        <f>IF(tblHistory[[#This Row],[案件ID]]="","",IFERROR(INDEX(tblCases[案件名],MATCH(tblHistory[[#This Row],[案件ID]],tblCases[案件ID],0))&amp;"",""))</f>
        <v/>
      </c>
      <c r="E21" s="64" t="n"/>
      <c r="F21" s="52" t="n"/>
      <c r="G21" s="52" t="n"/>
      <c r="H21" s="52" t="n"/>
      <c r="I21" s="55" t="str">
        <f>IF(tblHistory[[#This Row],[結果]]="","",IF(tblHistory[[#This Row],[実接点]]=1,"○","—"))</f>
        <v/>
      </c>
      <c r="J21" s="52" t="n"/>
      <c r="K21" s="51" t="n"/>
      <c r="L21" s="51" t="n"/>
      <c r="M21" s="51" t="n"/>
      <c r="N2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1" s="61" t="str">
        <f>IFERROR(VALUE(MID(tblHistory[[#This Row],[履歴ID]],2,20)),"")</f>
        <v/>
      </c>
      <c r="P21" s="61" t="str">
        <f>tblHistory[[#This Row],[案件ID]]&amp;"|"&amp;tblHistory[[#This Row],[ID番号]]</f>
        <v>|</v>
      </c>
      <c r="Q21" s="61">
        <f>IF(tblHistory[[#This Row],[結果]]="",0,IFERROR(IF(INDEX(lst_ResultReal,MATCH(tblHistory[[#This Row],[結果]],lst_Result,0))=1,1,0),0))</f>
        <v>0</v>
      </c>
      <c r="R2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2">
      <c r="A22" s="49" t="n"/>
      <c r="B22" s="49" t="n"/>
      <c r="C22" s="50" t="str">
        <f>IF(tblHistory[[#This Row],[案件ID]]="","",IFERROR(INDEX(tblCases[顧客名],MATCH(tblHistory[[#This Row],[案件ID]],tblCases[案件ID],0))&amp;"","（未登録の案件ID）"))</f>
        <v/>
      </c>
      <c r="D22" s="50" t="str">
        <f>IF(tblHistory[[#This Row],[案件ID]]="","",IFERROR(INDEX(tblCases[案件名],MATCH(tblHistory[[#This Row],[案件ID]],tblCases[案件ID],0))&amp;"",""))</f>
        <v/>
      </c>
      <c r="E22" s="64" t="n"/>
      <c r="F22" s="52" t="n"/>
      <c r="G22" s="52" t="n"/>
      <c r="H22" s="52" t="n"/>
      <c r="I22" s="55" t="str">
        <f>IF(tblHistory[[#This Row],[結果]]="","",IF(tblHistory[[#This Row],[実接点]]=1,"○","—"))</f>
        <v/>
      </c>
      <c r="J22" s="52" t="n"/>
      <c r="K22" s="51" t="n"/>
      <c r="L22" s="51" t="n"/>
      <c r="M22" s="51" t="n"/>
      <c r="N2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2" s="61" t="str">
        <f>IFERROR(VALUE(MID(tblHistory[[#This Row],[履歴ID]],2,20)),"")</f>
        <v/>
      </c>
      <c r="P22" s="61" t="str">
        <f>tblHistory[[#This Row],[案件ID]]&amp;"|"&amp;tblHistory[[#This Row],[ID番号]]</f>
        <v>|</v>
      </c>
      <c r="Q22" s="61">
        <f>IF(tblHistory[[#This Row],[結果]]="",0,IFERROR(IF(INDEX(lst_ResultReal,MATCH(tblHistory[[#This Row],[結果]],lst_Result,0))=1,1,0),0))</f>
        <v>0</v>
      </c>
      <c r="R2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3">
      <c r="A23" s="49" t="n"/>
      <c r="B23" s="49" t="n"/>
      <c r="C23" s="50" t="str">
        <f>IF(tblHistory[[#This Row],[案件ID]]="","",IFERROR(INDEX(tblCases[顧客名],MATCH(tblHistory[[#This Row],[案件ID]],tblCases[案件ID],0))&amp;"","（未登録の案件ID）"))</f>
        <v/>
      </c>
      <c r="D23" s="50" t="str">
        <f>IF(tblHistory[[#This Row],[案件ID]]="","",IFERROR(INDEX(tblCases[案件名],MATCH(tblHistory[[#This Row],[案件ID]],tblCases[案件ID],0))&amp;"",""))</f>
        <v/>
      </c>
      <c r="E23" s="64" t="n"/>
      <c r="F23" s="52" t="n"/>
      <c r="G23" s="52" t="n"/>
      <c r="H23" s="52" t="n"/>
      <c r="I23" s="55" t="str">
        <f>IF(tblHistory[[#This Row],[結果]]="","",IF(tblHistory[[#This Row],[実接点]]=1,"○","—"))</f>
        <v/>
      </c>
      <c r="J23" s="52" t="n"/>
      <c r="K23" s="51" t="n"/>
      <c r="L23" s="51" t="n"/>
      <c r="M23" s="51" t="n"/>
      <c r="N2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3" s="61" t="str">
        <f>IFERROR(VALUE(MID(tblHistory[[#This Row],[履歴ID]],2,20)),"")</f>
        <v/>
      </c>
      <c r="P23" s="61" t="str">
        <f>tblHistory[[#This Row],[案件ID]]&amp;"|"&amp;tblHistory[[#This Row],[ID番号]]</f>
        <v>|</v>
      </c>
      <c r="Q23" s="61">
        <f>IF(tblHistory[[#This Row],[結果]]="",0,IFERROR(IF(INDEX(lst_ResultReal,MATCH(tblHistory[[#This Row],[結果]],lst_Result,0))=1,1,0),0))</f>
        <v>0</v>
      </c>
      <c r="R2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4">
      <c r="A24" s="49" t="n"/>
      <c r="B24" s="49" t="n"/>
      <c r="C24" s="50" t="str">
        <f>IF(tblHistory[[#This Row],[案件ID]]="","",IFERROR(INDEX(tblCases[顧客名],MATCH(tblHistory[[#This Row],[案件ID]],tblCases[案件ID],0))&amp;"","（未登録の案件ID）"))</f>
        <v/>
      </c>
      <c r="D24" s="50" t="str">
        <f>IF(tblHistory[[#This Row],[案件ID]]="","",IFERROR(INDEX(tblCases[案件名],MATCH(tblHistory[[#This Row],[案件ID]],tblCases[案件ID],0))&amp;"",""))</f>
        <v/>
      </c>
      <c r="E24" s="64" t="n"/>
      <c r="F24" s="52" t="n"/>
      <c r="G24" s="52" t="n"/>
      <c r="H24" s="52" t="n"/>
      <c r="I24" s="55" t="str">
        <f>IF(tblHistory[[#This Row],[結果]]="","",IF(tblHistory[[#This Row],[実接点]]=1,"○","—"))</f>
        <v/>
      </c>
      <c r="J24" s="52" t="n"/>
      <c r="K24" s="51" t="n"/>
      <c r="L24" s="51" t="n"/>
      <c r="M24" s="51" t="n"/>
      <c r="N2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4" s="61" t="str">
        <f>IFERROR(VALUE(MID(tblHistory[[#This Row],[履歴ID]],2,20)),"")</f>
        <v/>
      </c>
      <c r="P24" s="61" t="str">
        <f>tblHistory[[#This Row],[案件ID]]&amp;"|"&amp;tblHistory[[#This Row],[ID番号]]</f>
        <v>|</v>
      </c>
      <c r="Q24" s="61">
        <f>IF(tblHistory[[#This Row],[結果]]="",0,IFERROR(IF(INDEX(lst_ResultReal,MATCH(tblHistory[[#This Row],[結果]],lst_Result,0))=1,1,0),0))</f>
        <v>0</v>
      </c>
      <c r="R2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5">
      <c r="A25" s="49" t="n"/>
      <c r="B25" s="49" t="n"/>
      <c r="C25" s="50" t="str">
        <f>IF(tblHistory[[#This Row],[案件ID]]="","",IFERROR(INDEX(tblCases[顧客名],MATCH(tblHistory[[#This Row],[案件ID]],tblCases[案件ID],0))&amp;"","（未登録の案件ID）"))</f>
        <v/>
      </c>
      <c r="D25" s="50" t="str">
        <f>IF(tblHistory[[#This Row],[案件ID]]="","",IFERROR(INDEX(tblCases[案件名],MATCH(tblHistory[[#This Row],[案件ID]],tblCases[案件ID],0))&amp;"",""))</f>
        <v/>
      </c>
      <c r="E25" s="64" t="n"/>
      <c r="F25" s="52" t="n"/>
      <c r="G25" s="52" t="n"/>
      <c r="H25" s="52" t="n"/>
      <c r="I25" s="55" t="str">
        <f>IF(tblHistory[[#This Row],[結果]]="","",IF(tblHistory[[#This Row],[実接点]]=1,"○","—"))</f>
        <v/>
      </c>
      <c r="J25" s="52" t="n"/>
      <c r="K25" s="51" t="n"/>
      <c r="L25" s="51" t="n"/>
      <c r="M25" s="51" t="n"/>
      <c r="N2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5" s="61" t="str">
        <f>IFERROR(VALUE(MID(tblHistory[[#This Row],[履歴ID]],2,20)),"")</f>
        <v/>
      </c>
      <c r="P25" s="61" t="str">
        <f>tblHistory[[#This Row],[案件ID]]&amp;"|"&amp;tblHistory[[#This Row],[ID番号]]</f>
        <v>|</v>
      </c>
      <c r="Q25" s="61">
        <f>IF(tblHistory[[#This Row],[結果]]="",0,IFERROR(IF(INDEX(lst_ResultReal,MATCH(tblHistory[[#This Row],[結果]],lst_Result,0))=1,1,0),0))</f>
        <v>0</v>
      </c>
      <c r="R2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6">
      <c r="A26" s="49" t="n"/>
      <c r="B26" s="49" t="n"/>
      <c r="C26" s="50" t="str">
        <f>IF(tblHistory[[#This Row],[案件ID]]="","",IFERROR(INDEX(tblCases[顧客名],MATCH(tblHistory[[#This Row],[案件ID]],tblCases[案件ID],0))&amp;"","（未登録の案件ID）"))</f>
        <v/>
      </c>
      <c r="D26" s="50" t="str">
        <f>IF(tblHistory[[#This Row],[案件ID]]="","",IFERROR(INDEX(tblCases[案件名],MATCH(tblHistory[[#This Row],[案件ID]],tblCases[案件ID],0))&amp;"",""))</f>
        <v/>
      </c>
      <c r="E26" s="64" t="n"/>
      <c r="F26" s="52" t="n"/>
      <c r="G26" s="52" t="n"/>
      <c r="H26" s="52" t="n"/>
      <c r="I26" s="55" t="str">
        <f>IF(tblHistory[[#This Row],[結果]]="","",IF(tblHistory[[#This Row],[実接点]]=1,"○","—"))</f>
        <v/>
      </c>
      <c r="J26" s="52" t="n"/>
      <c r="K26" s="51" t="n"/>
      <c r="L26" s="51" t="n"/>
      <c r="M26" s="51" t="n"/>
      <c r="N2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6" s="61" t="str">
        <f>IFERROR(VALUE(MID(tblHistory[[#This Row],[履歴ID]],2,20)),"")</f>
        <v/>
      </c>
      <c r="P26" s="61" t="str">
        <f>tblHistory[[#This Row],[案件ID]]&amp;"|"&amp;tblHistory[[#This Row],[ID番号]]</f>
        <v>|</v>
      </c>
      <c r="Q26" s="61">
        <f>IF(tblHistory[[#This Row],[結果]]="",0,IFERROR(IF(INDEX(lst_ResultReal,MATCH(tblHistory[[#This Row],[結果]],lst_Result,0))=1,1,0),0))</f>
        <v>0</v>
      </c>
      <c r="R2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7">
      <c r="A27" s="49" t="n"/>
      <c r="B27" s="49" t="n"/>
      <c r="C27" s="50" t="str">
        <f>IF(tblHistory[[#This Row],[案件ID]]="","",IFERROR(INDEX(tblCases[顧客名],MATCH(tblHistory[[#This Row],[案件ID]],tblCases[案件ID],0))&amp;"","（未登録の案件ID）"))</f>
        <v/>
      </c>
      <c r="D27" s="50" t="str">
        <f>IF(tblHistory[[#This Row],[案件ID]]="","",IFERROR(INDEX(tblCases[案件名],MATCH(tblHistory[[#This Row],[案件ID]],tblCases[案件ID],0))&amp;"",""))</f>
        <v/>
      </c>
      <c r="E27" s="64" t="n"/>
      <c r="F27" s="52" t="n"/>
      <c r="G27" s="52" t="n"/>
      <c r="H27" s="52" t="n"/>
      <c r="I27" s="55" t="str">
        <f>IF(tblHistory[[#This Row],[結果]]="","",IF(tblHistory[[#This Row],[実接点]]=1,"○","—"))</f>
        <v/>
      </c>
      <c r="J27" s="52" t="n"/>
      <c r="K27" s="51" t="n"/>
      <c r="L27" s="51" t="n"/>
      <c r="M27" s="51" t="n"/>
      <c r="N2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7" s="61" t="str">
        <f>IFERROR(VALUE(MID(tblHistory[[#This Row],[履歴ID]],2,20)),"")</f>
        <v/>
      </c>
      <c r="P27" s="61" t="str">
        <f>tblHistory[[#This Row],[案件ID]]&amp;"|"&amp;tblHistory[[#This Row],[ID番号]]</f>
        <v>|</v>
      </c>
      <c r="Q27" s="61">
        <f>IF(tblHistory[[#This Row],[結果]]="",0,IFERROR(IF(INDEX(lst_ResultReal,MATCH(tblHistory[[#This Row],[結果]],lst_Result,0))=1,1,0),0))</f>
        <v>0</v>
      </c>
      <c r="R2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8">
      <c r="A28" s="49" t="n"/>
      <c r="B28" s="49" t="n"/>
      <c r="C28" s="50" t="str">
        <f>IF(tblHistory[[#This Row],[案件ID]]="","",IFERROR(INDEX(tblCases[顧客名],MATCH(tblHistory[[#This Row],[案件ID]],tblCases[案件ID],0))&amp;"","（未登録の案件ID）"))</f>
        <v/>
      </c>
      <c r="D28" s="50" t="str">
        <f>IF(tblHistory[[#This Row],[案件ID]]="","",IFERROR(INDEX(tblCases[案件名],MATCH(tblHistory[[#This Row],[案件ID]],tblCases[案件ID],0))&amp;"",""))</f>
        <v/>
      </c>
      <c r="E28" s="64" t="n"/>
      <c r="F28" s="52" t="n"/>
      <c r="G28" s="52" t="n"/>
      <c r="H28" s="52" t="n"/>
      <c r="I28" s="55" t="str">
        <f>IF(tblHistory[[#This Row],[結果]]="","",IF(tblHistory[[#This Row],[実接点]]=1,"○","—"))</f>
        <v/>
      </c>
      <c r="J28" s="52" t="n"/>
      <c r="K28" s="51" t="n"/>
      <c r="L28" s="51" t="n"/>
      <c r="M28" s="51" t="n"/>
      <c r="N2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8" s="61" t="str">
        <f>IFERROR(VALUE(MID(tblHistory[[#This Row],[履歴ID]],2,20)),"")</f>
        <v/>
      </c>
      <c r="P28" s="61" t="str">
        <f>tblHistory[[#This Row],[案件ID]]&amp;"|"&amp;tblHistory[[#This Row],[ID番号]]</f>
        <v>|</v>
      </c>
      <c r="Q28" s="61">
        <f>IF(tblHistory[[#This Row],[結果]]="",0,IFERROR(IF(INDEX(lst_ResultReal,MATCH(tblHistory[[#This Row],[結果]],lst_Result,0))=1,1,0),0))</f>
        <v>0</v>
      </c>
      <c r="R2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29">
      <c r="A29" s="49" t="n"/>
      <c r="B29" s="49" t="n"/>
      <c r="C29" s="50" t="str">
        <f>IF(tblHistory[[#This Row],[案件ID]]="","",IFERROR(INDEX(tblCases[顧客名],MATCH(tblHistory[[#This Row],[案件ID]],tblCases[案件ID],0))&amp;"","（未登録の案件ID）"))</f>
        <v/>
      </c>
      <c r="D29" s="50" t="str">
        <f>IF(tblHistory[[#This Row],[案件ID]]="","",IFERROR(INDEX(tblCases[案件名],MATCH(tblHistory[[#This Row],[案件ID]],tblCases[案件ID],0))&amp;"",""))</f>
        <v/>
      </c>
      <c r="E29" s="64" t="n"/>
      <c r="F29" s="52" t="n"/>
      <c r="G29" s="52" t="n"/>
      <c r="H29" s="52" t="n"/>
      <c r="I29" s="55" t="str">
        <f>IF(tblHistory[[#This Row],[結果]]="","",IF(tblHistory[[#This Row],[実接点]]=1,"○","—"))</f>
        <v/>
      </c>
      <c r="J29" s="52" t="n"/>
      <c r="K29" s="51" t="n"/>
      <c r="L29" s="51" t="n"/>
      <c r="M29" s="51" t="n"/>
      <c r="N2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29" s="61" t="str">
        <f>IFERROR(VALUE(MID(tblHistory[[#This Row],[履歴ID]],2,20)),"")</f>
        <v/>
      </c>
      <c r="P29" s="61" t="str">
        <f>tblHistory[[#This Row],[案件ID]]&amp;"|"&amp;tblHistory[[#This Row],[ID番号]]</f>
        <v>|</v>
      </c>
      <c r="Q29" s="61">
        <f>IF(tblHistory[[#This Row],[結果]]="",0,IFERROR(IF(INDEX(lst_ResultReal,MATCH(tblHistory[[#This Row],[結果]],lst_Result,0))=1,1,0),0))</f>
        <v>0</v>
      </c>
      <c r="R2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0">
      <c r="A30" s="49" t="n"/>
      <c r="B30" s="49" t="n"/>
      <c r="C30" s="50" t="str">
        <f>IF(tblHistory[[#This Row],[案件ID]]="","",IFERROR(INDEX(tblCases[顧客名],MATCH(tblHistory[[#This Row],[案件ID]],tblCases[案件ID],0))&amp;"","（未登録の案件ID）"))</f>
        <v/>
      </c>
      <c r="D30" s="50" t="str">
        <f>IF(tblHistory[[#This Row],[案件ID]]="","",IFERROR(INDEX(tblCases[案件名],MATCH(tblHistory[[#This Row],[案件ID]],tblCases[案件ID],0))&amp;"",""))</f>
        <v/>
      </c>
      <c r="E30" s="64" t="n"/>
      <c r="F30" s="52" t="n"/>
      <c r="G30" s="52" t="n"/>
      <c r="H30" s="52" t="n"/>
      <c r="I30" s="55" t="str">
        <f>IF(tblHistory[[#This Row],[結果]]="","",IF(tblHistory[[#This Row],[実接点]]=1,"○","—"))</f>
        <v/>
      </c>
      <c r="J30" s="52" t="n"/>
      <c r="K30" s="51" t="n"/>
      <c r="L30" s="51" t="n"/>
      <c r="M30" s="51" t="n"/>
      <c r="N3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0" s="61" t="str">
        <f>IFERROR(VALUE(MID(tblHistory[[#This Row],[履歴ID]],2,20)),"")</f>
        <v/>
      </c>
      <c r="P30" s="61" t="str">
        <f>tblHistory[[#This Row],[案件ID]]&amp;"|"&amp;tblHistory[[#This Row],[ID番号]]</f>
        <v>|</v>
      </c>
      <c r="Q30" s="61">
        <f>IF(tblHistory[[#This Row],[結果]]="",0,IFERROR(IF(INDEX(lst_ResultReal,MATCH(tblHistory[[#This Row],[結果]],lst_Result,0))=1,1,0),0))</f>
        <v>0</v>
      </c>
      <c r="R3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1">
      <c r="A31" s="49" t="n"/>
      <c r="B31" s="49" t="n"/>
      <c r="C31" s="50" t="str">
        <f>IF(tblHistory[[#This Row],[案件ID]]="","",IFERROR(INDEX(tblCases[顧客名],MATCH(tblHistory[[#This Row],[案件ID]],tblCases[案件ID],0))&amp;"","（未登録の案件ID）"))</f>
        <v/>
      </c>
      <c r="D31" s="50" t="str">
        <f>IF(tblHistory[[#This Row],[案件ID]]="","",IFERROR(INDEX(tblCases[案件名],MATCH(tblHistory[[#This Row],[案件ID]],tblCases[案件ID],0))&amp;"",""))</f>
        <v/>
      </c>
      <c r="E31" s="64" t="n"/>
      <c r="F31" s="52" t="n"/>
      <c r="G31" s="52" t="n"/>
      <c r="H31" s="52" t="n"/>
      <c r="I31" s="55" t="str">
        <f>IF(tblHistory[[#This Row],[結果]]="","",IF(tblHistory[[#This Row],[実接点]]=1,"○","—"))</f>
        <v/>
      </c>
      <c r="J31" s="52" t="n"/>
      <c r="K31" s="51" t="n"/>
      <c r="L31" s="51" t="n"/>
      <c r="M31" s="51" t="n"/>
      <c r="N3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1" s="61" t="str">
        <f>IFERROR(VALUE(MID(tblHistory[[#This Row],[履歴ID]],2,20)),"")</f>
        <v/>
      </c>
      <c r="P31" s="61" t="str">
        <f>tblHistory[[#This Row],[案件ID]]&amp;"|"&amp;tblHistory[[#This Row],[ID番号]]</f>
        <v>|</v>
      </c>
      <c r="Q31" s="61">
        <f>IF(tblHistory[[#This Row],[結果]]="",0,IFERROR(IF(INDEX(lst_ResultReal,MATCH(tblHistory[[#This Row],[結果]],lst_Result,0))=1,1,0),0))</f>
        <v>0</v>
      </c>
      <c r="R3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2">
      <c r="A32" s="49" t="n"/>
      <c r="B32" s="49" t="n"/>
      <c r="C32" s="50" t="str">
        <f>IF(tblHistory[[#This Row],[案件ID]]="","",IFERROR(INDEX(tblCases[顧客名],MATCH(tblHistory[[#This Row],[案件ID]],tblCases[案件ID],0))&amp;"","（未登録の案件ID）"))</f>
        <v/>
      </c>
      <c r="D32" s="50" t="str">
        <f>IF(tblHistory[[#This Row],[案件ID]]="","",IFERROR(INDEX(tblCases[案件名],MATCH(tblHistory[[#This Row],[案件ID]],tblCases[案件ID],0))&amp;"",""))</f>
        <v/>
      </c>
      <c r="E32" s="64" t="n"/>
      <c r="F32" s="52" t="n"/>
      <c r="G32" s="52" t="n"/>
      <c r="H32" s="52" t="n"/>
      <c r="I32" s="55" t="str">
        <f>IF(tblHistory[[#This Row],[結果]]="","",IF(tblHistory[[#This Row],[実接点]]=1,"○","—"))</f>
        <v/>
      </c>
      <c r="J32" s="52" t="n"/>
      <c r="K32" s="51" t="n"/>
      <c r="L32" s="51" t="n"/>
      <c r="M32" s="51" t="n"/>
      <c r="N3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2" s="61" t="str">
        <f>IFERROR(VALUE(MID(tblHistory[[#This Row],[履歴ID]],2,20)),"")</f>
        <v/>
      </c>
      <c r="P32" s="61" t="str">
        <f>tblHistory[[#This Row],[案件ID]]&amp;"|"&amp;tblHistory[[#This Row],[ID番号]]</f>
        <v>|</v>
      </c>
      <c r="Q32" s="61">
        <f>IF(tblHistory[[#This Row],[結果]]="",0,IFERROR(IF(INDEX(lst_ResultReal,MATCH(tblHistory[[#This Row],[結果]],lst_Result,0))=1,1,0),0))</f>
        <v>0</v>
      </c>
      <c r="R3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3">
      <c r="A33" s="49" t="n"/>
      <c r="B33" s="49" t="n"/>
      <c r="C33" s="50" t="str">
        <f>IF(tblHistory[[#This Row],[案件ID]]="","",IFERROR(INDEX(tblCases[顧客名],MATCH(tblHistory[[#This Row],[案件ID]],tblCases[案件ID],0))&amp;"","（未登録の案件ID）"))</f>
        <v/>
      </c>
      <c r="D33" s="50" t="str">
        <f>IF(tblHistory[[#This Row],[案件ID]]="","",IFERROR(INDEX(tblCases[案件名],MATCH(tblHistory[[#This Row],[案件ID]],tblCases[案件ID],0))&amp;"",""))</f>
        <v/>
      </c>
      <c r="E33" s="64" t="n"/>
      <c r="F33" s="52" t="n"/>
      <c r="G33" s="52" t="n"/>
      <c r="H33" s="52" t="n"/>
      <c r="I33" s="55" t="str">
        <f>IF(tblHistory[[#This Row],[結果]]="","",IF(tblHistory[[#This Row],[実接点]]=1,"○","—"))</f>
        <v/>
      </c>
      <c r="J33" s="52" t="n"/>
      <c r="K33" s="51" t="n"/>
      <c r="L33" s="51" t="n"/>
      <c r="M33" s="51" t="n"/>
      <c r="N3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3" s="61" t="str">
        <f>IFERROR(VALUE(MID(tblHistory[[#This Row],[履歴ID]],2,20)),"")</f>
        <v/>
      </c>
      <c r="P33" s="61" t="str">
        <f>tblHistory[[#This Row],[案件ID]]&amp;"|"&amp;tblHistory[[#This Row],[ID番号]]</f>
        <v>|</v>
      </c>
      <c r="Q33" s="61">
        <f>IF(tblHistory[[#This Row],[結果]]="",0,IFERROR(IF(INDEX(lst_ResultReal,MATCH(tblHistory[[#This Row],[結果]],lst_Result,0))=1,1,0),0))</f>
        <v>0</v>
      </c>
      <c r="R3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4">
      <c r="A34" s="49" t="n"/>
      <c r="B34" s="49" t="n"/>
      <c r="C34" s="50" t="str">
        <f>IF(tblHistory[[#This Row],[案件ID]]="","",IFERROR(INDEX(tblCases[顧客名],MATCH(tblHistory[[#This Row],[案件ID]],tblCases[案件ID],0))&amp;"","（未登録の案件ID）"))</f>
        <v/>
      </c>
      <c r="D34" s="50" t="str">
        <f>IF(tblHistory[[#This Row],[案件ID]]="","",IFERROR(INDEX(tblCases[案件名],MATCH(tblHistory[[#This Row],[案件ID]],tblCases[案件ID],0))&amp;"",""))</f>
        <v/>
      </c>
      <c r="E34" s="64" t="n"/>
      <c r="F34" s="52" t="n"/>
      <c r="G34" s="52" t="n"/>
      <c r="H34" s="52" t="n"/>
      <c r="I34" s="55" t="str">
        <f>IF(tblHistory[[#This Row],[結果]]="","",IF(tblHistory[[#This Row],[実接点]]=1,"○","—"))</f>
        <v/>
      </c>
      <c r="J34" s="52" t="n"/>
      <c r="K34" s="51" t="n"/>
      <c r="L34" s="51" t="n"/>
      <c r="M34" s="51" t="n"/>
      <c r="N3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4" s="61" t="str">
        <f>IFERROR(VALUE(MID(tblHistory[[#This Row],[履歴ID]],2,20)),"")</f>
        <v/>
      </c>
      <c r="P34" s="61" t="str">
        <f>tblHistory[[#This Row],[案件ID]]&amp;"|"&amp;tblHistory[[#This Row],[ID番号]]</f>
        <v>|</v>
      </c>
      <c r="Q34" s="61">
        <f>IF(tblHistory[[#This Row],[結果]]="",0,IFERROR(IF(INDEX(lst_ResultReal,MATCH(tblHistory[[#This Row],[結果]],lst_Result,0))=1,1,0),0))</f>
        <v>0</v>
      </c>
      <c r="R3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5">
      <c r="A35" s="49" t="n"/>
      <c r="B35" s="49" t="n"/>
      <c r="C35" s="50" t="str">
        <f>IF(tblHistory[[#This Row],[案件ID]]="","",IFERROR(INDEX(tblCases[顧客名],MATCH(tblHistory[[#This Row],[案件ID]],tblCases[案件ID],0))&amp;"","（未登録の案件ID）"))</f>
        <v/>
      </c>
      <c r="D35" s="50" t="str">
        <f>IF(tblHistory[[#This Row],[案件ID]]="","",IFERROR(INDEX(tblCases[案件名],MATCH(tblHistory[[#This Row],[案件ID]],tblCases[案件ID],0))&amp;"",""))</f>
        <v/>
      </c>
      <c r="E35" s="64" t="n"/>
      <c r="F35" s="52" t="n"/>
      <c r="G35" s="52" t="n"/>
      <c r="H35" s="52" t="n"/>
      <c r="I35" s="55" t="str">
        <f>IF(tblHistory[[#This Row],[結果]]="","",IF(tblHistory[[#This Row],[実接点]]=1,"○","—"))</f>
        <v/>
      </c>
      <c r="J35" s="52" t="n"/>
      <c r="K35" s="51" t="n"/>
      <c r="L35" s="51" t="n"/>
      <c r="M35" s="51" t="n"/>
      <c r="N3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5" s="61" t="str">
        <f>IFERROR(VALUE(MID(tblHistory[[#This Row],[履歴ID]],2,20)),"")</f>
        <v/>
      </c>
      <c r="P35" s="61" t="str">
        <f>tblHistory[[#This Row],[案件ID]]&amp;"|"&amp;tblHistory[[#This Row],[ID番号]]</f>
        <v>|</v>
      </c>
      <c r="Q35" s="61">
        <f>IF(tblHistory[[#This Row],[結果]]="",0,IFERROR(IF(INDEX(lst_ResultReal,MATCH(tblHistory[[#This Row],[結果]],lst_Result,0))=1,1,0),0))</f>
        <v>0</v>
      </c>
      <c r="R3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6">
      <c r="A36" s="49" t="n"/>
      <c r="B36" s="49" t="n"/>
      <c r="C36" s="50" t="str">
        <f>IF(tblHistory[[#This Row],[案件ID]]="","",IFERROR(INDEX(tblCases[顧客名],MATCH(tblHistory[[#This Row],[案件ID]],tblCases[案件ID],0))&amp;"","（未登録の案件ID）"))</f>
        <v/>
      </c>
      <c r="D36" s="50" t="str">
        <f>IF(tblHistory[[#This Row],[案件ID]]="","",IFERROR(INDEX(tblCases[案件名],MATCH(tblHistory[[#This Row],[案件ID]],tblCases[案件ID],0))&amp;"",""))</f>
        <v/>
      </c>
      <c r="E36" s="64" t="n"/>
      <c r="F36" s="52" t="n"/>
      <c r="G36" s="52" t="n"/>
      <c r="H36" s="52" t="n"/>
      <c r="I36" s="55" t="str">
        <f>IF(tblHistory[[#This Row],[結果]]="","",IF(tblHistory[[#This Row],[実接点]]=1,"○","—"))</f>
        <v/>
      </c>
      <c r="J36" s="52" t="n"/>
      <c r="K36" s="51" t="n"/>
      <c r="L36" s="51" t="n"/>
      <c r="M36" s="51" t="n"/>
      <c r="N3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6" s="61" t="str">
        <f>IFERROR(VALUE(MID(tblHistory[[#This Row],[履歴ID]],2,20)),"")</f>
        <v/>
      </c>
      <c r="P36" s="61" t="str">
        <f>tblHistory[[#This Row],[案件ID]]&amp;"|"&amp;tblHistory[[#This Row],[ID番号]]</f>
        <v>|</v>
      </c>
      <c r="Q36" s="61">
        <f>IF(tblHistory[[#This Row],[結果]]="",0,IFERROR(IF(INDEX(lst_ResultReal,MATCH(tblHistory[[#This Row],[結果]],lst_Result,0))=1,1,0),0))</f>
        <v>0</v>
      </c>
      <c r="R3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7">
      <c r="A37" s="49" t="n"/>
      <c r="B37" s="49" t="n"/>
      <c r="C37" s="50" t="str">
        <f>IF(tblHistory[[#This Row],[案件ID]]="","",IFERROR(INDEX(tblCases[顧客名],MATCH(tblHistory[[#This Row],[案件ID]],tblCases[案件ID],0))&amp;"","（未登録の案件ID）"))</f>
        <v/>
      </c>
      <c r="D37" s="50" t="str">
        <f>IF(tblHistory[[#This Row],[案件ID]]="","",IFERROR(INDEX(tblCases[案件名],MATCH(tblHistory[[#This Row],[案件ID]],tblCases[案件ID],0))&amp;"",""))</f>
        <v/>
      </c>
      <c r="E37" s="64" t="n"/>
      <c r="F37" s="52" t="n"/>
      <c r="G37" s="52" t="n"/>
      <c r="H37" s="52" t="n"/>
      <c r="I37" s="55" t="str">
        <f>IF(tblHistory[[#This Row],[結果]]="","",IF(tblHistory[[#This Row],[実接点]]=1,"○","—"))</f>
        <v/>
      </c>
      <c r="J37" s="52" t="n"/>
      <c r="K37" s="51" t="n"/>
      <c r="L37" s="51" t="n"/>
      <c r="M37" s="51" t="n"/>
      <c r="N3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7" s="61" t="str">
        <f>IFERROR(VALUE(MID(tblHistory[[#This Row],[履歴ID]],2,20)),"")</f>
        <v/>
      </c>
      <c r="P37" s="61" t="str">
        <f>tblHistory[[#This Row],[案件ID]]&amp;"|"&amp;tblHistory[[#This Row],[ID番号]]</f>
        <v>|</v>
      </c>
      <c r="Q37" s="61">
        <f>IF(tblHistory[[#This Row],[結果]]="",0,IFERROR(IF(INDEX(lst_ResultReal,MATCH(tblHistory[[#This Row],[結果]],lst_Result,0))=1,1,0),0))</f>
        <v>0</v>
      </c>
      <c r="R3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8">
      <c r="A38" s="49" t="n"/>
      <c r="B38" s="49" t="n"/>
      <c r="C38" s="50" t="str">
        <f>IF(tblHistory[[#This Row],[案件ID]]="","",IFERROR(INDEX(tblCases[顧客名],MATCH(tblHistory[[#This Row],[案件ID]],tblCases[案件ID],0))&amp;"","（未登録の案件ID）"))</f>
        <v/>
      </c>
      <c r="D38" s="50" t="str">
        <f>IF(tblHistory[[#This Row],[案件ID]]="","",IFERROR(INDEX(tblCases[案件名],MATCH(tblHistory[[#This Row],[案件ID]],tblCases[案件ID],0))&amp;"",""))</f>
        <v/>
      </c>
      <c r="E38" s="64" t="n"/>
      <c r="F38" s="52" t="n"/>
      <c r="G38" s="52" t="n"/>
      <c r="H38" s="52" t="n"/>
      <c r="I38" s="55" t="str">
        <f>IF(tblHistory[[#This Row],[結果]]="","",IF(tblHistory[[#This Row],[実接点]]=1,"○","—"))</f>
        <v/>
      </c>
      <c r="J38" s="52" t="n"/>
      <c r="K38" s="51" t="n"/>
      <c r="L38" s="51" t="n"/>
      <c r="M38" s="51" t="n"/>
      <c r="N3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8" s="61" t="str">
        <f>IFERROR(VALUE(MID(tblHistory[[#This Row],[履歴ID]],2,20)),"")</f>
        <v/>
      </c>
      <c r="P38" s="61" t="str">
        <f>tblHistory[[#This Row],[案件ID]]&amp;"|"&amp;tblHistory[[#This Row],[ID番号]]</f>
        <v>|</v>
      </c>
      <c r="Q38" s="61">
        <f>IF(tblHistory[[#This Row],[結果]]="",0,IFERROR(IF(INDEX(lst_ResultReal,MATCH(tblHistory[[#This Row],[結果]],lst_Result,0))=1,1,0),0))</f>
        <v>0</v>
      </c>
      <c r="R3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39">
      <c r="A39" s="49" t="n"/>
      <c r="B39" s="49" t="n"/>
      <c r="C39" s="50" t="str">
        <f>IF(tblHistory[[#This Row],[案件ID]]="","",IFERROR(INDEX(tblCases[顧客名],MATCH(tblHistory[[#This Row],[案件ID]],tblCases[案件ID],0))&amp;"","（未登録の案件ID）"))</f>
        <v/>
      </c>
      <c r="D39" s="50" t="str">
        <f>IF(tblHistory[[#This Row],[案件ID]]="","",IFERROR(INDEX(tblCases[案件名],MATCH(tblHistory[[#This Row],[案件ID]],tblCases[案件ID],0))&amp;"",""))</f>
        <v/>
      </c>
      <c r="E39" s="64" t="n"/>
      <c r="F39" s="52" t="n"/>
      <c r="G39" s="52" t="n"/>
      <c r="H39" s="52" t="n"/>
      <c r="I39" s="55" t="str">
        <f>IF(tblHistory[[#This Row],[結果]]="","",IF(tblHistory[[#This Row],[実接点]]=1,"○","—"))</f>
        <v/>
      </c>
      <c r="J39" s="52" t="n"/>
      <c r="K39" s="51" t="n"/>
      <c r="L39" s="51" t="n"/>
      <c r="M39" s="51" t="n"/>
      <c r="N3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39" s="61" t="str">
        <f>IFERROR(VALUE(MID(tblHistory[[#This Row],[履歴ID]],2,20)),"")</f>
        <v/>
      </c>
      <c r="P39" s="61" t="str">
        <f>tblHistory[[#This Row],[案件ID]]&amp;"|"&amp;tblHistory[[#This Row],[ID番号]]</f>
        <v>|</v>
      </c>
      <c r="Q39" s="61">
        <f>IF(tblHistory[[#This Row],[結果]]="",0,IFERROR(IF(INDEX(lst_ResultReal,MATCH(tblHistory[[#This Row],[結果]],lst_Result,0))=1,1,0),0))</f>
        <v>0</v>
      </c>
      <c r="R3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0">
      <c r="A40" s="49" t="n"/>
      <c r="B40" s="49" t="n"/>
      <c r="C40" s="50" t="str">
        <f>IF(tblHistory[[#This Row],[案件ID]]="","",IFERROR(INDEX(tblCases[顧客名],MATCH(tblHistory[[#This Row],[案件ID]],tblCases[案件ID],0))&amp;"","（未登録の案件ID）"))</f>
        <v/>
      </c>
      <c r="D40" s="50" t="str">
        <f>IF(tblHistory[[#This Row],[案件ID]]="","",IFERROR(INDEX(tblCases[案件名],MATCH(tblHistory[[#This Row],[案件ID]],tblCases[案件ID],0))&amp;"",""))</f>
        <v/>
      </c>
      <c r="E40" s="64" t="n"/>
      <c r="F40" s="52" t="n"/>
      <c r="G40" s="52" t="n"/>
      <c r="H40" s="52" t="n"/>
      <c r="I40" s="55" t="str">
        <f>IF(tblHistory[[#This Row],[結果]]="","",IF(tblHistory[[#This Row],[実接点]]=1,"○","—"))</f>
        <v/>
      </c>
      <c r="J40" s="52" t="n"/>
      <c r="K40" s="51" t="n"/>
      <c r="L40" s="51" t="n"/>
      <c r="M40" s="51" t="n"/>
      <c r="N4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0" s="61" t="str">
        <f>IFERROR(VALUE(MID(tblHistory[[#This Row],[履歴ID]],2,20)),"")</f>
        <v/>
      </c>
      <c r="P40" s="61" t="str">
        <f>tblHistory[[#This Row],[案件ID]]&amp;"|"&amp;tblHistory[[#This Row],[ID番号]]</f>
        <v>|</v>
      </c>
      <c r="Q40" s="61">
        <f>IF(tblHistory[[#This Row],[結果]]="",0,IFERROR(IF(INDEX(lst_ResultReal,MATCH(tblHistory[[#This Row],[結果]],lst_Result,0))=1,1,0),0))</f>
        <v>0</v>
      </c>
      <c r="R4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1">
      <c r="A41" s="49" t="n"/>
      <c r="B41" s="49" t="n"/>
      <c r="C41" s="50" t="str">
        <f>IF(tblHistory[[#This Row],[案件ID]]="","",IFERROR(INDEX(tblCases[顧客名],MATCH(tblHistory[[#This Row],[案件ID]],tblCases[案件ID],0))&amp;"","（未登録の案件ID）"))</f>
        <v/>
      </c>
      <c r="D41" s="50" t="str">
        <f>IF(tblHistory[[#This Row],[案件ID]]="","",IFERROR(INDEX(tblCases[案件名],MATCH(tblHistory[[#This Row],[案件ID]],tblCases[案件ID],0))&amp;"",""))</f>
        <v/>
      </c>
      <c r="E41" s="64" t="n"/>
      <c r="F41" s="52" t="n"/>
      <c r="G41" s="52" t="n"/>
      <c r="H41" s="52" t="n"/>
      <c r="I41" s="55" t="str">
        <f>IF(tblHistory[[#This Row],[結果]]="","",IF(tblHistory[[#This Row],[実接点]]=1,"○","—"))</f>
        <v/>
      </c>
      <c r="J41" s="52" t="n"/>
      <c r="K41" s="51" t="n"/>
      <c r="L41" s="51" t="n"/>
      <c r="M41" s="51" t="n"/>
      <c r="N4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1" s="61" t="str">
        <f>IFERROR(VALUE(MID(tblHistory[[#This Row],[履歴ID]],2,20)),"")</f>
        <v/>
      </c>
      <c r="P41" s="61" t="str">
        <f>tblHistory[[#This Row],[案件ID]]&amp;"|"&amp;tblHistory[[#This Row],[ID番号]]</f>
        <v>|</v>
      </c>
      <c r="Q41" s="61">
        <f>IF(tblHistory[[#This Row],[結果]]="",0,IFERROR(IF(INDEX(lst_ResultReal,MATCH(tblHistory[[#This Row],[結果]],lst_Result,0))=1,1,0),0))</f>
        <v>0</v>
      </c>
      <c r="R4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2">
      <c r="A42" s="49" t="n"/>
      <c r="B42" s="49" t="n"/>
      <c r="C42" s="50" t="str">
        <f>IF(tblHistory[[#This Row],[案件ID]]="","",IFERROR(INDEX(tblCases[顧客名],MATCH(tblHistory[[#This Row],[案件ID]],tblCases[案件ID],0))&amp;"","（未登録の案件ID）"))</f>
        <v/>
      </c>
      <c r="D42" s="50" t="str">
        <f>IF(tblHistory[[#This Row],[案件ID]]="","",IFERROR(INDEX(tblCases[案件名],MATCH(tblHistory[[#This Row],[案件ID]],tblCases[案件ID],0))&amp;"",""))</f>
        <v/>
      </c>
      <c r="E42" s="64" t="n"/>
      <c r="F42" s="52" t="n"/>
      <c r="G42" s="52" t="n"/>
      <c r="H42" s="52" t="n"/>
      <c r="I42" s="55" t="str">
        <f>IF(tblHistory[[#This Row],[結果]]="","",IF(tblHistory[[#This Row],[実接点]]=1,"○","—"))</f>
        <v/>
      </c>
      <c r="J42" s="52" t="n"/>
      <c r="K42" s="51" t="n"/>
      <c r="L42" s="51" t="n"/>
      <c r="M42" s="51" t="n"/>
      <c r="N4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2" s="61" t="str">
        <f>IFERROR(VALUE(MID(tblHistory[[#This Row],[履歴ID]],2,20)),"")</f>
        <v/>
      </c>
      <c r="P42" s="61" t="str">
        <f>tblHistory[[#This Row],[案件ID]]&amp;"|"&amp;tblHistory[[#This Row],[ID番号]]</f>
        <v>|</v>
      </c>
      <c r="Q42" s="61">
        <f>IF(tblHistory[[#This Row],[結果]]="",0,IFERROR(IF(INDEX(lst_ResultReal,MATCH(tblHistory[[#This Row],[結果]],lst_Result,0))=1,1,0),0))</f>
        <v>0</v>
      </c>
      <c r="R4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3">
      <c r="A43" s="49" t="n"/>
      <c r="B43" s="49" t="n"/>
      <c r="C43" s="50" t="str">
        <f>IF(tblHistory[[#This Row],[案件ID]]="","",IFERROR(INDEX(tblCases[顧客名],MATCH(tblHistory[[#This Row],[案件ID]],tblCases[案件ID],0))&amp;"","（未登録の案件ID）"))</f>
        <v/>
      </c>
      <c r="D43" s="50" t="str">
        <f>IF(tblHistory[[#This Row],[案件ID]]="","",IFERROR(INDEX(tblCases[案件名],MATCH(tblHistory[[#This Row],[案件ID]],tblCases[案件ID],0))&amp;"",""))</f>
        <v/>
      </c>
      <c r="E43" s="64" t="n"/>
      <c r="F43" s="52" t="n"/>
      <c r="G43" s="52" t="n"/>
      <c r="H43" s="52" t="n"/>
      <c r="I43" s="55" t="str">
        <f>IF(tblHistory[[#This Row],[結果]]="","",IF(tblHistory[[#This Row],[実接点]]=1,"○","—"))</f>
        <v/>
      </c>
      <c r="J43" s="52" t="n"/>
      <c r="K43" s="51" t="n"/>
      <c r="L43" s="51" t="n"/>
      <c r="M43" s="51" t="n"/>
      <c r="N4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3" s="61" t="str">
        <f>IFERROR(VALUE(MID(tblHistory[[#This Row],[履歴ID]],2,20)),"")</f>
        <v/>
      </c>
      <c r="P43" s="61" t="str">
        <f>tblHistory[[#This Row],[案件ID]]&amp;"|"&amp;tblHistory[[#This Row],[ID番号]]</f>
        <v>|</v>
      </c>
      <c r="Q43" s="61">
        <f>IF(tblHistory[[#This Row],[結果]]="",0,IFERROR(IF(INDEX(lst_ResultReal,MATCH(tblHistory[[#This Row],[結果]],lst_Result,0))=1,1,0),0))</f>
        <v>0</v>
      </c>
      <c r="R4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4">
      <c r="A44" s="49" t="n"/>
      <c r="B44" s="49" t="n"/>
      <c r="C44" s="50" t="str">
        <f>IF(tblHistory[[#This Row],[案件ID]]="","",IFERROR(INDEX(tblCases[顧客名],MATCH(tblHistory[[#This Row],[案件ID]],tblCases[案件ID],0))&amp;"","（未登録の案件ID）"))</f>
        <v/>
      </c>
      <c r="D44" s="50" t="str">
        <f>IF(tblHistory[[#This Row],[案件ID]]="","",IFERROR(INDEX(tblCases[案件名],MATCH(tblHistory[[#This Row],[案件ID]],tblCases[案件ID],0))&amp;"",""))</f>
        <v/>
      </c>
      <c r="E44" s="64" t="n"/>
      <c r="F44" s="52" t="n"/>
      <c r="G44" s="52" t="n"/>
      <c r="H44" s="52" t="n"/>
      <c r="I44" s="55" t="str">
        <f>IF(tblHistory[[#This Row],[結果]]="","",IF(tblHistory[[#This Row],[実接点]]=1,"○","—"))</f>
        <v/>
      </c>
      <c r="J44" s="52" t="n"/>
      <c r="K44" s="51" t="n"/>
      <c r="L44" s="51" t="n"/>
      <c r="M44" s="51" t="n"/>
      <c r="N4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4" s="61" t="str">
        <f>IFERROR(VALUE(MID(tblHistory[[#This Row],[履歴ID]],2,20)),"")</f>
        <v/>
      </c>
      <c r="P44" s="61" t="str">
        <f>tblHistory[[#This Row],[案件ID]]&amp;"|"&amp;tblHistory[[#This Row],[ID番号]]</f>
        <v>|</v>
      </c>
      <c r="Q44" s="61">
        <f>IF(tblHistory[[#This Row],[結果]]="",0,IFERROR(IF(INDEX(lst_ResultReal,MATCH(tblHistory[[#This Row],[結果]],lst_Result,0))=1,1,0),0))</f>
        <v>0</v>
      </c>
      <c r="R4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5">
      <c r="A45" s="49" t="n"/>
      <c r="B45" s="49" t="n"/>
      <c r="C45" s="50" t="str">
        <f>IF(tblHistory[[#This Row],[案件ID]]="","",IFERROR(INDEX(tblCases[顧客名],MATCH(tblHistory[[#This Row],[案件ID]],tblCases[案件ID],0))&amp;"","（未登録の案件ID）"))</f>
        <v/>
      </c>
      <c r="D45" s="50" t="str">
        <f>IF(tblHistory[[#This Row],[案件ID]]="","",IFERROR(INDEX(tblCases[案件名],MATCH(tblHistory[[#This Row],[案件ID]],tblCases[案件ID],0))&amp;"",""))</f>
        <v/>
      </c>
      <c r="E45" s="64" t="n"/>
      <c r="F45" s="52" t="n"/>
      <c r="G45" s="52" t="n"/>
      <c r="H45" s="52" t="n"/>
      <c r="I45" s="55" t="str">
        <f>IF(tblHistory[[#This Row],[結果]]="","",IF(tblHistory[[#This Row],[実接点]]=1,"○","—"))</f>
        <v/>
      </c>
      <c r="J45" s="52" t="n"/>
      <c r="K45" s="51" t="n"/>
      <c r="L45" s="51" t="n"/>
      <c r="M45" s="51" t="n"/>
      <c r="N4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5" s="61" t="str">
        <f>IFERROR(VALUE(MID(tblHistory[[#This Row],[履歴ID]],2,20)),"")</f>
        <v/>
      </c>
      <c r="P45" s="61" t="str">
        <f>tblHistory[[#This Row],[案件ID]]&amp;"|"&amp;tblHistory[[#This Row],[ID番号]]</f>
        <v>|</v>
      </c>
      <c r="Q45" s="61">
        <f>IF(tblHistory[[#This Row],[結果]]="",0,IFERROR(IF(INDEX(lst_ResultReal,MATCH(tblHistory[[#This Row],[結果]],lst_Result,0))=1,1,0),0))</f>
        <v>0</v>
      </c>
      <c r="R4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6">
      <c r="A46" s="49" t="n"/>
      <c r="B46" s="49" t="n"/>
      <c r="C46" s="50" t="str">
        <f>IF(tblHistory[[#This Row],[案件ID]]="","",IFERROR(INDEX(tblCases[顧客名],MATCH(tblHistory[[#This Row],[案件ID]],tblCases[案件ID],0))&amp;"","（未登録の案件ID）"))</f>
        <v/>
      </c>
      <c r="D46" s="50" t="str">
        <f>IF(tblHistory[[#This Row],[案件ID]]="","",IFERROR(INDEX(tblCases[案件名],MATCH(tblHistory[[#This Row],[案件ID]],tblCases[案件ID],0))&amp;"",""))</f>
        <v/>
      </c>
      <c r="E46" s="64" t="n"/>
      <c r="F46" s="52" t="n"/>
      <c r="G46" s="52" t="n"/>
      <c r="H46" s="52" t="n"/>
      <c r="I46" s="55" t="str">
        <f>IF(tblHistory[[#This Row],[結果]]="","",IF(tblHistory[[#This Row],[実接点]]=1,"○","—"))</f>
        <v/>
      </c>
      <c r="J46" s="52" t="n"/>
      <c r="K46" s="51" t="n"/>
      <c r="L46" s="51" t="n"/>
      <c r="M46" s="51" t="n"/>
      <c r="N4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6" s="61" t="str">
        <f>IFERROR(VALUE(MID(tblHistory[[#This Row],[履歴ID]],2,20)),"")</f>
        <v/>
      </c>
      <c r="P46" s="61" t="str">
        <f>tblHistory[[#This Row],[案件ID]]&amp;"|"&amp;tblHistory[[#This Row],[ID番号]]</f>
        <v>|</v>
      </c>
      <c r="Q46" s="61">
        <f>IF(tblHistory[[#This Row],[結果]]="",0,IFERROR(IF(INDEX(lst_ResultReal,MATCH(tblHistory[[#This Row],[結果]],lst_Result,0))=1,1,0),0))</f>
        <v>0</v>
      </c>
      <c r="R4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7">
      <c r="A47" s="49" t="n"/>
      <c r="B47" s="49" t="n"/>
      <c r="C47" s="50" t="str">
        <f>IF(tblHistory[[#This Row],[案件ID]]="","",IFERROR(INDEX(tblCases[顧客名],MATCH(tblHistory[[#This Row],[案件ID]],tblCases[案件ID],0))&amp;"","（未登録の案件ID）"))</f>
        <v/>
      </c>
      <c r="D47" s="50" t="str">
        <f>IF(tblHistory[[#This Row],[案件ID]]="","",IFERROR(INDEX(tblCases[案件名],MATCH(tblHistory[[#This Row],[案件ID]],tblCases[案件ID],0))&amp;"",""))</f>
        <v/>
      </c>
      <c r="E47" s="64" t="n"/>
      <c r="F47" s="52" t="n"/>
      <c r="G47" s="52" t="n"/>
      <c r="H47" s="52" t="n"/>
      <c r="I47" s="55" t="str">
        <f>IF(tblHistory[[#This Row],[結果]]="","",IF(tblHistory[[#This Row],[実接点]]=1,"○","—"))</f>
        <v/>
      </c>
      <c r="J47" s="52" t="n"/>
      <c r="K47" s="51" t="n"/>
      <c r="L47" s="51" t="n"/>
      <c r="M47" s="51" t="n"/>
      <c r="N4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7" s="61" t="str">
        <f>IFERROR(VALUE(MID(tblHistory[[#This Row],[履歴ID]],2,20)),"")</f>
        <v/>
      </c>
      <c r="P47" s="61" t="str">
        <f>tblHistory[[#This Row],[案件ID]]&amp;"|"&amp;tblHistory[[#This Row],[ID番号]]</f>
        <v>|</v>
      </c>
      <c r="Q47" s="61">
        <f>IF(tblHistory[[#This Row],[結果]]="",0,IFERROR(IF(INDEX(lst_ResultReal,MATCH(tblHistory[[#This Row],[結果]],lst_Result,0))=1,1,0),0))</f>
        <v>0</v>
      </c>
      <c r="R4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8">
      <c r="A48" s="49" t="n"/>
      <c r="B48" s="49" t="n"/>
      <c r="C48" s="50" t="str">
        <f>IF(tblHistory[[#This Row],[案件ID]]="","",IFERROR(INDEX(tblCases[顧客名],MATCH(tblHistory[[#This Row],[案件ID]],tblCases[案件ID],0))&amp;"","（未登録の案件ID）"))</f>
        <v/>
      </c>
      <c r="D48" s="50" t="str">
        <f>IF(tblHistory[[#This Row],[案件ID]]="","",IFERROR(INDEX(tblCases[案件名],MATCH(tblHistory[[#This Row],[案件ID]],tblCases[案件ID],0))&amp;"",""))</f>
        <v/>
      </c>
      <c r="E48" s="64" t="n"/>
      <c r="F48" s="52" t="n"/>
      <c r="G48" s="52" t="n"/>
      <c r="H48" s="52" t="n"/>
      <c r="I48" s="55" t="str">
        <f>IF(tblHistory[[#This Row],[結果]]="","",IF(tblHistory[[#This Row],[実接点]]=1,"○","—"))</f>
        <v/>
      </c>
      <c r="J48" s="52" t="n"/>
      <c r="K48" s="51" t="n"/>
      <c r="L48" s="51" t="n"/>
      <c r="M48" s="51" t="n"/>
      <c r="N4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8" s="61" t="str">
        <f>IFERROR(VALUE(MID(tblHistory[[#This Row],[履歴ID]],2,20)),"")</f>
        <v/>
      </c>
      <c r="P48" s="61" t="str">
        <f>tblHistory[[#This Row],[案件ID]]&amp;"|"&amp;tblHistory[[#This Row],[ID番号]]</f>
        <v>|</v>
      </c>
      <c r="Q48" s="61">
        <f>IF(tblHistory[[#This Row],[結果]]="",0,IFERROR(IF(INDEX(lst_ResultReal,MATCH(tblHistory[[#This Row],[結果]],lst_Result,0))=1,1,0),0))</f>
        <v>0</v>
      </c>
      <c r="R4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49">
      <c r="A49" s="49" t="n"/>
      <c r="B49" s="49" t="n"/>
      <c r="C49" s="50" t="str">
        <f>IF(tblHistory[[#This Row],[案件ID]]="","",IFERROR(INDEX(tblCases[顧客名],MATCH(tblHistory[[#This Row],[案件ID]],tblCases[案件ID],0))&amp;"","（未登録の案件ID）"))</f>
        <v/>
      </c>
      <c r="D49" s="50" t="str">
        <f>IF(tblHistory[[#This Row],[案件ID]]="","",IFERROR(INDEX(tblCases[案件名],MATCH(tblHistory[[#This Row],[案件ID]],tblCases[案件ID],0))&amp;"",""))</f>
        <v/>
      </c>
      <c r="E49" s="64" t="n"/>
      <c r="F49" s="52" t="n"/>
      <c r="G49" s="52" t="n"/>
      <c r="H49" s="52" t="n"/>
      <c r="I49" s="55" t="str">
        <f>IF(tblHistory[[#This Row],[結果]]="","",IF(tblHistory[[#This Row],[実接点]]=1,"○","—"))</f>
        <v/>
      </c>
      <c r="J49" s="52" t="n"/>
      <c r="K49" s="51" t="n"/>
      <c r="L49" s="51" t="n"/>
      <c r="M49" s="51" t="n"/>
      <c r="N4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49" s="61" t="str">
        <f>IFERROR(VALUE(MID(tblHistory[[#This Row],[履歴ID]],2,20)),"")</f>
        <v/>
      </c>
      <c r="P49" s="61" t="str">
        <f>tblHistory[[#This Row],[案件ID]]&amp;"|"&amp;tblHistory[[#This Row],[ID番号]]</f>
        <v>|</v>
      </c>
      <c r="Q49" s="61">
        <f>IF(tblHistory[[#This Row],[結果]]="",0,IFERROR(IF(INDEX(lst_ResultReal,MATCH(tblHistory[[#This Row],[結果]],lst_Result,0))=1,1,0),0))</f>
        <v>0</v>
      </c>
      <c r="R4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0">
      <c r="A50" s="49" t="n"/>
      <c r="B50" s="49" t="n"/>
      <c r="C50" s="50" t="str">
        <f>IF(tblHistory[[#This Row],[案件ID]]="","",IFERROR(INDEX(tblCases[顧客名],MATCH(tblHistory[[#This Row],[案件ID]],tblCases[案件ID],0))&amp;"","（未登録の案件ID）"))</f>
        <v/>
      </c>
      <c r="D50" s="50" t="str">
        <f>IF(tblHistory[[#This Row],[案件ID]]="","",IFERROR(INDEX(tblCases[案件名],MATCH(tblHistory[[#This Row],[案件ID]],tblCases[案件ID],0))&amp;"",""))</f>
        <v/>
      </c>
      <c r="E50" s="64" t="n"/>
      <c r="F50" s="52" t="n"/>
      <c r="G50" s="52" t="n"/>
      <c r="H50" s="52" t="n"/>
      <c r="I50" s="55" t="str">
        <f>IF(tblHistory[[#This Row],[結果]]="","",IF(tblHistory[[#This Row],[実接点]]=1,"○","—"))</f>
        <v/>
      </c>
      <c r="J50" s="52" t="n"/>
      <c r="K50" s="51" t="n"/>
      <c r="L50" s="51" t="n"/>
      <c r="M50" s="51" t="n"/>
      <c r="N5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0" s="61" t="str">
        <f>IFERROR(VALUE(MID(tblHistory[[#This Row],[履歴ID]],2,20)),"")</f>
        <v/>
      </c>
      <c r="P50" s="61" t="str">
        <f>tblHistory[[#This Row],[案件ID]]&amp;"|"&amp;tblHistory[[#This Row],[ID番号]]</f>
        <v>|</v>
      </c>
      <c r="Q50" s="61">
        <f>IF(tblHistory[[#This Row],[結果]]="",0,IFERROR(IF(INDEX(lst_ResultReal,MATCH(tblHistory[[#This Row],[結果]],lst_Result,0))=1,1,0),0))</f>
        <v>0</v>
      </c>
      <c r="R5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1">
      <c r="A51" s="49" t="n"/>
      <c r="B51" s="49" t="n"/>
      <c r="C51" s="50" t="str">
        <f>IF(tblHistory[[#This Row],[案件ID]]="","",IFERROR(INDEX(tblCases[顧客名],MATCH(tblHistory[[#This Row],[案件ID]],tblCases[案件ID],0))&amp;"","（未登録の案件ID）"))</f>
        <v/>
      </c>
      <c r="D51" s="50" t="str">
        <f>IF(tblHistory[[#This Row],[案件ID]]="","",IFERROR(INDEX(tblCases[案件名],MATCH(tblHistory[[#This Row],[案件ID]],tblCases[案件ID],0))&amp;"",""))</f>
        <v/>
      </c>
      <c r="E51" s="64" t="n"/>
      <c r="F51" s="52" t="n"/>
      <c r="G51" s="52" t="n"/>
      <c r="H51" s="52" t="n"/>
      <c r="I51" s="55" t="str">
        <f>IF(tblHistory[[#This Row],[結果]]="","",IF(tblHistory[[#This Row],[実接点]]=1,"○","—"))</f>
        <v/>
      </c>
      <c r="J51" s="52" t="n"/>
      <c r="K51" s="51" t="n"/>
      <c r="L51" s="51" t="n"/>
      <c r="M51" s="51" t="n"/>
      <c r="N5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1" s="61" t="str">
        <f>IFERROR(VALUE(MID(tblHistory[[#This Row],[履歴ID]],2,20)),"")</f>
        <v/>
      </c>
      <c r="P51" s="61" t="str">
        <f>tblHistory[[#This Row],[案件ID]]&amp;"|"&amp;tblHistory[[#This Row],[ID番号]]</f>
        <v>|</v>
      </c>
      <c r="Q51" s="61">
        <f>IF(tblHistory[[#This Row],[結果]]="",0,IFERROR(IF(INDEX(lst_ResultReal,MATCH(tblHistory[[#This Row],[結果]],lst_Result,0))=1,1,0),0))</f>
        <v>0</v>
      </c>
      <c r="R5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2">
      <c r="A52" s="49" t="n"/>
      <c r="B52" s="49" t="n"/>
      <c r="C52" s="50" t="str">
        <f>IF(tblHistory[[#This Row],[案件ID]]="","",IFERROR(INDEX(tblCases[顧客名],MATCH(tblHistory[[#This Row],[案件ID]],tblCases[案件ID],0))&amp;"","（未登録の案件ID）"))</f>
        <v/>
      </c>
      <c r="D52" s="50" t="str">
        <f>IF(tblHistory[[#This Row],[案件ID]]="","",IFERROR(INDEX(tblCases[案件名],MATCH(tblHistory[[#This Row],[案件ID]],tblCases[案件ID],0))&amp;"",""))</f>
        <v/>
      </c>
      <c r="E52" s="64" t="n"/>
      <c r="F52" s="52" t="n"/>
      <c r="G52" s="52" t="n"/>
      <c r="H52" s="52" t="n"/>
      <c r="I52" s="55" t="str">
        <f>IF(tblHistory[[#This Row],[結果]]="","",IF(tblHistory[[#This Row],[実接点]]=1,"○","—"))</f>
        <v/>
      </c>
      <c r="J52" s="52" t="n"/>
      <c r="K52" s="51" t="n"/>
      <c r="L52" s="51" t="n"/>
      <c r="M52" s="51" t="n"/>
      <c r="N5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2" s="61" t="str">
        <f>IFERROR(VALUE(MID(tblHistory[[#This Row],[履歴ID]],2,20)),"")</f>
        <v/>
      </c>
      <c r="P52" s="61" t="str">
        <f>tblHistory[[#This Row],[案件ID]]&amp;"|"&amp;tblHistory[[#This Row],[ID番号]]</f>
        <v>|</v>
      </c>
      <c r="Q52" s="61">
        <f>IF(tblHistory[[#This Row],[結果]]="",0,IFERROR(IF(INDEX(lst_ResultReal,MATCH(tblHistory[[#This Row],[結果]],lst_Result,0))=1,1,0),0))</f>
        <v>0</v>
      </c>
      <c r="R5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3">
      <c r="A53" s="49" t="n"/>
      <c r="B53" s="49" t="n"/>
      <c r="C53" s="50" t="str">
        <f>IF(tblHistory[[#This Row],[案件ID]]="","",IFERROR(INDEX(tblCases[顧客名],MATCH(tblHistory[[#This Row],[案件ID]],tblCases[案件ID],0))&amp;"","（未登録の案件ID）"))</f>
        <v/>
      </c>
      <c r="D53" s="50" t="str">
        <f>IF(tblHistory[[#This Row],[案件ID]]="","",IFERROR(INDEX(tblCases[案件名],MATCH(tblHistory[[#This Row],[案件ID]],tblCases[案件ID],0))&amp;"",""))</f>
        <v/>
      </c>
      <c r="E53" s="64" t="n"/>
      <c r="F53" s="52" t="n"/>
      <c r="G53" s="52" t="n"/>
      <c r="H53" s="52" t="n"/>
      <c r="I53" s="55" t="str">
        <f>IF(tblHistory[[#This Row],[結果]]="","",IF(tblHistory[[#This Row],[実接点]]=1,"○","—"))</f>
        <v/>
      </c>
      <c r="J53" s="52" t="n"/>
      <c r="K53" s="51" t="n"/>
      <c r="L53" s="51" t="n"/>
      <c r="M53" s="51" t="n"/>
      <c r="N5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3" s="61" t="str">
        <f>IFERROR(VALUE(MID(tblHistory[[#This Row],[履歴ID]],2,20)),"")</f>
        <v/>
      </c>
      <c r="P53" s="61" t="str">
        <f>tblHistory[[#This Row],[案件ID]]&amp;"|"&amp;tblHistory[[#This Row],[ID番号]]</f>
        <v>|</v>
      </c>
      <c r="Q53" s="61">
        <f>IF(tblHistory[[#This Row],[結果]]="",0,IFERROR(IF(INDEX(lst_ResultReal,MATCH(tblHistory[[#This Row],[結果]],lst_Result,0))=1,1,0),0))</f>
        <v>0</v>
      </c>
      <c r="R5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4">
      <c r="A54" s="49" t="n"/>
      <c r="B54" s="49" t="n"/>
      <c r="C54" s="50" t="str">
        <f>IF(tblHistory[[#This Row],[案件ID]]="","",IFERROR(INDEX(tblCases[顧客名],MATCH(tblHistory[[#This Row],[案件ID]],tblCases[案件ID],0))&amp;"","（未登録の案件ID）"))</f>
        <v/>
      </c>
      <c r="D54" s="50" t="str">
        <f>IF(tblHistory[[#This Row],[案件ID]]="","",IFERROR(INDEX(tblCases[案件名],MATCH(tblHistory[[#This Row],[案件ID]],tblCases[案件ID],0))&amp;"",""))</f>
        <v/>
      </c>
      <c r="E54" s="64" t="n"/>
      <c r="F54" s="52" t="n"/>
      <c r="G54" s="52" t="n"/>
      <c r="H54" s="52" t="n"/>
      <c r="I54" s="55" t="str">
        <f>IF(tblHistory[[#This Row],[結果]]="","",IF(tblHistory[[#This Row],[実接点]]=1,"○","—"))</f>
        <v/>
      </c>
      <c r="J54" s="52" t="n"/>
      <c r="K54" s="51" t="n"/>
      <c r="L54" s="51" t="n"/>
      <c r="M54" s="51" t="n"/>
      <c r="N5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4" s="61" t="str">
        <f>IFERROR(VALUE(MID(tblHistory[[#This Row],[履歴ID]],2,20)),"")</f>
        <v/>
      </c>
      <c r="P54" s="61" t="str">
        <f>tblHistory[[#This Row],[案件ID]]&amp;"|"&amp;tblHistory[[#This Row],[ID番号]]</f>
        <v>|</v>
      </c>
      <c r="Q54" s="61">
        <f>IF(tblHistory[[#This Row],[結果]]="",0,IFERROR(IF(INDEX(lst_ResultReal,MATCH(tblHistory[[#This Row],[結果]],lst_Result,0))=1,1,0),0))</f>
        <v>0</v>
      </c>
      <c r="R5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5">
      <c r="A55" s="49" t="n"/>
      <c r="B55" s="49" t="n"/>
      <c r="C55" s="50" t="str">
        <f>IF(tblHistory[[#This Row],[案件ID]]="","",IFERROR(INDEX(tblCases[顧客名],MATCH(tblHistory[[#This Row],[案件ID]],tblCases[案件ID],0))&amp;"","（未登録の案件ID）"))</f>
        <v/>
      </c>
      <c r="D55" s="50" t="str">
        <f>IF(tblHistory[[#This Row],[案件ID]]="","",IFERROR(INDEX(tblCases[案件名],MATCH(tblHistory[[#This Row],[案件ID]],tblCases[案件ID],0))&amp;"",""))</f>
        <v/>
      </c>
      <c r="E55" s="64" t="n"/>
      <c r="F55" s="52" t="n"/>
      <c r="G55" s="52" t="n"/>
      <c r="H55" s="52" t="n"/>
      <c r="I55" s="55" t="str">
        <f>IF(tblHistory[[#This Row],[結果]]="","",IF(tblHistory[[#This Row],[実接点]]=1,"○","—"))</f>
        <v/>
      </c>
      <c r="J55" s="52" t="n"/>
      <c r="K55" s="51" t="n"/>
      <c r="L55" s="51" t="n"/>
      <c r="M55" s="51" t="n"/>
      <c r="N5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5" s="61" t="str">
        <f>IFERROR(VALUE(MID(tblHistory[[#This Row],[履歴ID]],2,20)),"")</f>
        <v/>
      </c>
      <c r="P55" s="61" t="str">
        <f>tblHistory[[#This Row],[案件ID]]&amp;"|"&amp;tblHistory[[#This Row],[ID番号]]</f>
        <v>|</v>
      </c>
      <c r="Q55" s="61">
        <f>IF(tblHistory[[#This Row],[結果]]="",0,IFERROR(IF(INDEX(lst_ResultReal,MATCH(tblHistory[[#This Row],[結果]],lst_Result,0))=1,1,0),0))</f>
        <v>0</v>
      </c>
      <c r="R5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6">
      <c r="A56" s="49" t="n"/>
      <c r="B56" s="49" t="n"/>
      <c r="C56" s="50" t="str">
        <f>IF(tblHistory[[#This Row],[案件ID]]="","",IFERROR(INDEX(tblCases[顧客名],MATCH(tblHistory[[#This Row],[案件ID]],tblCases[案件ID],0))&amp;"","（未登録の案件ID）"))</f>
        <v/>
      </c>
      <c r="D56" s="50" t="str">
        <f>IF(tblHistory[[#This Row],[案件ID]]="","",IFERROR(INDEX(tblCases[案件名],MATCH(tblHistory[[#This Row],[案件ID]],tblCases[案件ID],0))&amp;"",""))</f>
        <v/>
      </c>
      <c r="E56" s="64" t="n"/>
      <c r="F56" s="52" t="n"/>
      <c r="G56" s="52" t="n"/>
      <c r="H56" s="52" t="n"/>
      <c r="I56" s="55" t="str">
        <f>IF(tblHistory[[#This Row],[結果]]="","",IF(tblHistory[[#This Row],[実接点]]=1,"○","—"))</f>
        <v/>
      </c>
      <c r="J56" s="52" t="n"/>
      <c r="K56" s="51" t="n"/>
      <c r="L56" s="51" t="n"/>
      <c r="M56" s="51" t="n"/>
      <c r="N5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6" s="61" t="str">
        <f>IFERROR(VALUE(MID(tblHistory[[#This Row],[履歴ID]],2,20)),"")</f>
        <v/>
      </c>
      <c r="P56" s="61" t="str">
        <f>tblHistory[[#This Row],[案件ID]]&amp;"|"&amp;tblHistory[[#This Row],[ID番号]]</f>
        <v>|</v>
      </c>
      <c r="Q56" s="61">
        <f>IF(tblHistory[[#This Row],[結果]]="",0,IFERROR(IF(INDEX(lst_ResultReal,MATCH(tblHistory[[#This Row],[結果]],lst_Result,0))=1,1,0),0))</f>
        <v>0</v>
      </c>
      <c r="R5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7">
      <c r="A57" s="49" t="n"/>
      <c r="B57" s="49" t="n"/>
      <c r="C57" s="50" t="str">
        <f>IF(tblHistory[[#This Row],[案件ID]]="","",IFERROR(INDEX(tblCases[顧客名],MATCH(tblHistory[[#This Row],[案件ID]],tblCases[案件ID],0))&amp;"","（未登録の案件ID）"))</f>
        <v/>
      </c>
      <c r="D57" s="50" t="str">
        <f>IF(tblHistory[[#This Row],[案件ID]]="","",IFERROR(INDEX(tblCases[案件名],MATCH(tblHistory[[#This Row],[案件ID]],tblCases[案件ID],0))&amp;"",""))</f>
        <v/>
      </c>
      <c r="E57" s="64" t="n"/>
      <c r="F57" s="52" t="n"/>
      <c r="G57" s="52" t="n"/>
      <c r="H57" s="52" t="n"/>
      <c r="I57" s="55" t="str">
        <f>IF(tblHistory[[#This Row],[結果]]="","",IF(tblHistory[[#This Row],[実接点]]=1,"○","—"))</f>
        <v/>
      </c>
      <c r="J57" s="52" t="n"/>
      <c r="K57" s="51" t="n"/>
      <c r="L57" s="51" t="n"/>
      <c r="M57" s="51" t="n"/>
      <c r="N5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7" s="61" t="str">
        <f>IFERROR(VALUE(MID(tblHistory[[#This Row],[履歴ID]],2,20)),"")</f>
        <v/>
      </c>
      <c r="P57" s="61" t="str">
        <f>tblHistory[[#This Row],[案件ID]]&amp;"|"&amp;tblHistory[[#This Row],[ID番号]]</f>
        <v>|</v>
      </c>
      <c r="Q57" s="61">
        <f>IF(tblHistory[[#This Row],[結果]]="",0,IFERROR(IF(INDEX(lst_ResultReal,MATCH(tblHistory[[#This Row],[結果]],lst_Result,0))=1,1,0),0))</f>
        <v>0</v>
      </c>
      <c r="R5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8">
      <c r="A58" s="49" t="n"/>
      <c r="B58" s="49" t="n"/>
      <c r="C58" s="50" t="str">
        <f>IF(tblHistory[[#This Row],[案件ID]]="","",IFERROR(INDEX(tblCases[顧客名],MATCH(tblHistory[[#This Row],[案件ID]],tblCases[案件ID],0))&amp;"","（未登録の案件ID）"))</f>
        <v/>
      </c>
      <c r="D58" s="50" t="str">
        <f>IF(tblHistory[[#This Row],[案件ID]]="","",IFERROR(INDEX(tblCases[案件名],MATCH(tblHistory[[#This Row],[案件ID]],tblCases[案件ID],0))&amp;"",""))</f>
        <v/>
      </c>
      <c r="E58" s="64" t="n"/>
      <c r="F58" s="52" t="n"/>
      <c r="G58" s="52" t="n"/>
      <c r="H58" s="52" t="n"/>
      <c r="I58" s="55" t="str">
        <f>IF(tblHistory[[#This Row],[結果]]="","",IF(tblHistory[[#This Row],[実接点]]=1,"○","—"))</f>
        <v/>
      </c>
      <c r="J58" s="52" t="n"/>
      <c r="K58" s="51" t="n"/>
      <c r="L58" s="51" t="n"/>
      <c r="M58" s="51" t="n"/>
      <c r="N5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8" s="61" t="str">
        <f>IFERROR(VALUE(MID(tblHistory[[#This Row],[履歴ID]],2,20)),"")</f>
        <v/>
      </c>
      <c r="P58" s="61" t="str">
        <f>tblHistory[[#This Row],[案件ID]]&amp;"|"&amp;tblHistory[[#This Row],[ID番号]]</f>
        <v>|</v>
      </c>
      <c r="Q58" s="61">
        <f>IF(tblHistory[[#This Row],[結果]]="",0,IFERROR(IF(INDEX(lst_ResultReal,MATCH(tblHistory[[#This Row],[結果]],lst_Result,0))=1,1,0),0))</f>
        <v>0</v>
      </c>
      <c r="R5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59">
      <c r="A59" s="49" t="n"/>
      <c r="B59" s="49" t="n"/>
      <c r="C59" s="50" t="str">
        <f>IF(tblHistory[[#This Row],[案件ID]]="","",IFERROR(INDEX(tblCases[顧客名],MATCH(tblHistory[[#This Row],[案件ID]],tblCases[案件ID],0))&amp;"","（未登録の案件ID）"))</f>
        <v/>
      </c>
      <c r="D59" s="50" t="str">
        <f>IF(tblHistory[[#This Row],[案件ID]]="","",IFERROR(INDEX(tblCases[案件名],MATCH(tblHistory[[#This Row],[案件ID]],tblCases[案件ID],0))&amp;"",""))</f>
        <v/>
      </c>
      <c r="E59" s="64" t="n"/>
      <c r="F59" s="52" t="n"/>
      <c r="G59" s="52" t="n"/>
      <c r="H59" s="52" t="n"/>
      <c r="I59" s="55" t="str">
        <f>IF(tblHistory[[#This Row],[結果]]="","",IF(tblHistory[[#This Row],[実接点]]=1,"○","—"))</f>
        <v/>
      </c>
      <c r="J59" s="52" t="n"/>
      <c r="K59" s="51" t="n"/>
      <c r="L59" s="51" t="n"/>
      <c r="M59" s="51" t="n"/>
      <c r="N5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59" s="61" t="str">
        <f>IFERROR(VALUE(MID(tblHistory[[#This Row],[履歴ID]],2,20)),"")</f>
        <v/>
      </c>
      <c r="P59" s="61" t="str">
        <f>tblHistory[[#This Row],[案件ID]]&amp;"|"&amp;tblHistory[[#This Row],[ID番号]]</f>
        <v>|</v>
      </c>
      <c r="Q59" s="61">
        <f>IF(tblHistory[[#This Row],[結果]]="",0,IFERROR(IF(INDEX(lst_ResultReal,MATCH(tblHistory[[#This Row],[結果]],lst_Result,0))=1,1,0),0))</f>
        <v>0</v>
      </c>
      <c r="R5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0">
      <c r="A60" s="49" t="n"/>
      <c r="B60" s="49" t="n"/>
      <c r="C60" s="50" t="str">
        <f>IF(tblHistory[[#This Row],[案件ID]]="","",IFERROR(INDEX(tblCases[顧客名],MATCH(tblHistory[[#This Row],[案件ID]],tblCases[案件ID],0))&amp;"","（未登録の案件ID）"))</f>
        <v/>
      </c>
      <c r="D60" s="50" t="str">
        <f>IF(tblHistory[[#This Row],[案件ID]]="","",IFERROR(INDEX(tblCases[案件名],MATCH(tblHistory[[#This Row],[案件ID]],tblCases[案件ID],0))&amp;"",""))</f>
        <v/>
      </c>
      <c r="E60" s="64" t="n"/>
      <c r="F60" s="52" t="n"/>
      <c r="G60" s="52" t="n"/>
      <c r="H60" s="52" t="n"/>
      <c r="I60" s="55" t="str">
        <f>IF(tblHistory[[#This Row],[結果]]="","",IF(tblHistory[[#This Row],[実接点]]=1,"○","—"))</f>
        <v/>
      </c>
      <c r="J60" s="52" t="n"/>
      <c r="K60" s="51" t="n"/>
      <c r="L60" s="51" t="n"/>
      <c r="M60" s="51" t="n"/>
      <c r="N6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0" s="61" t="str">
        <f>IFERROR(VALUE(MID(tblHistory[[#This Row],[履歴ID]],2,20)),"")</f>
        <v/>
      </c>
      <c r="P60" s="61" t="str">
        <f>tblHistory[[#This Row],[案件ID]]&amp;"|"&amp;tblHistory[[#This Row],[ID番号]]</f>
        <v>|</v>
      </c>
      <c r="Q60" s="61">
        <f>IF(tblHistory[[#This Row],[結果]]="",0,IFERROR(IF(INDEX(lst_ResultReal,MATCH(tblHistory[[#This Row],[結果]],lst_Result,0))=1,1,0),0))</f>
        <v>0</v>
      </c>
      <c r="R6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1">
      <c r="A61" s="49" t="n"/>
      <c r="B61" s="49" t="n"/>
      <c r="C61" s="50" t="str">
        <f>IF(tblHistory[[#This Row],[案件ID]]="","",IFERROR(INDEX(tblCases[顧客名],MATCH(tblHistory[[#This Row],[案件ID]],tblCases[案件ID],0))&amp;"","（未登録の案件ID）"))</f>
        <v/>
      </c>
      <c r="D61" s="50" t="str">
        <f>IF(tblHistory[[#This Row],[案件ID]]="","",IFERROR(INDEX(tblCases[案件名],MATCH(tblHistory[[#This Row],[案件ID]],tblCases[案件ID],0))&amp;"",""))</f>
        <v/>
      </c>
      <c r="E61" s="64" t="n"/>
      <c r="F61" s="52" t="n"/>
      <c r="G61" s="52" t="n"/>
      <c r="H61" s="52" t="n"/>
      <c r="I61" s="55" t="str">
        <f>IF(tblHistory[[#This Row],[結果]]="","",IF(tblHistory[[#This Row],[実接点]]=1,"○","—"))</f>
        <v/>
      </c>
      <c r="J61" s="52" t="n"/>
      <c r="K61" s="51" t="n"/>
      <c r="L61" s="51" t="n"/>
      <c r="M61" s="51" t="n"/>
      <c r="N6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1" s="61" t="str">
        <f>IFERROR(VALUE(MID(tblHistory[[#This Row],[履歴ID]],2,20)),"")</f>
        <v/>
      </c>
      <c r="P61" s="61" t="str">
        <f>tblHistory[[#This Row],[案件ID]]&amp;"|"&amp;tblHistory[[#This Row],[ID番号]]</f>
        <v>|</v>
      </c>
      <c r="Q61" s="61">
        <f>IF(tblHistory[[#This Row],[結果]]="",0,IFERROR(IF(INDEX(lst_ResultReal,MATCH(tblHistory[[#This Row],[結果]],lst_Result,0))=1,1,0),0))</f>
        <v>0</v>
      </c>
      <c r="R6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2">
      <c r="A62" s="49" t="n"/>
      <c r="B62" s="49" t="n"/>
      <c r="C62" s="50" t="str">
        <f>IF(tblHistory[[#This Row],[案件ID]]="","",IFERROR(INDEX(tblCases[顧客名],MATCH(tblHistory[[#This Row],[案件ID]],tblCases[案件ID],0))&amp;"","（未登録の案件ID）"))</f>
        <v/>
      </c>
      <c r="D62" s="50" t="str">
        <f>IF(tblHistory[[#This Row],[案件ID]]="","",IFERROR(INDEX(tblCases[案件名],MATCH(tblHistory[[#This Row],[案件ID]],tblCases[案件ID],0))&amp;"",""))</f>
        <v/>
      </c>
      <c r="E62" s="64" t="n"/>
      <c r="F62" s="52" t="n"/>
      <c r="G62" s="52" t="n"/>
      <c r="H62" s="52" t="n"/>
      <c r="I62" s="55" t="str">
        <f>IF(tblHistory[[#This Row],[結果]]="","",IF(tblHistory[[#This Row],[実接点]]=1,"○","—"))</f>
        <v/>
      </c>
      <c r="J62" s="52" t="n"/>
      <c r="K62" s="51" t="n"/>
      <c r="L62" s="51" t="n"/>
      <c r="M62" s="51" t="n"/>
      <c r="N6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2" s="61" t="str">
        <f>IFERROR(VALUE(MID(tblHistory[[#This Row],[履歴ID]],2,20)),"")</f>
        <v/>
      </c>
      <c r="P62" s="61" t="str">
        <f>tblHistory[[#This Row],[案件ID]]&amp;"|"&amp;tblHistory[[#This Row],[ID番号]]</f>
        <v>|</v>
      </c>
      <c r="Q62" s="61">
        <f>IF(tblHistory[[#This Row],[結果]]="",0,IFERROR(IF(INDEX(lst_ResultReal,MATCH(tblHistory[[#This Row],[結果]],lst_Result,0))=1,1,0),0))</f>
        <v>0</v>
      </c>
      <c r="R6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3">
      <c r="A63" s="49" t="n"/>
      <c r="B63" s="49" t="n"/>
      <c r="C63" s="50" t="str">
        <f>IF(tblHistory[[#This Row],[案件ID]]="","",IFERROR(INDEX(tblCases[顧客名],MATCH(tblHistory[[#This Row],[案件ID]],tblCases[案件ID],0))&amp;"","（未登録の案件ID）"))</f>
        <v/>
      </c>
      <c r="D63" s="50" t="str">
        <f>IF(tblHistory[[#This Row],[案件ID]]="","",IFERROR(INDEX(tblCases[案件名],MATCH(tblHistory[[#This Row],[案件ID]],tblCases[案件ID],0))&amp;"",""))</f>
        <v/>
      </c>
      <c r="E63" s="64" t="n"/>
      <c r="F63" s="52" t="n"/>
      <c r="G63" s="52" t="n"/>
      <c r="H63" s="52" t="n"/>
      <c r="I63" s="55" t="str">
        <f>IF(tblHistory[[#This Row],[結果]]="","",IF(tblHistory[[#This Row],[実接点]]=1,"○","—"))</f>
        <v/>
      </c>
      <c r="J63" s="52" t="n"/>
      <c r="K63" s="51" t="n"/>
      <c r="L63" s="51" t="n"/>
      <c r="M63" s="51" t="n"/>
      <c r="N6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3" s="61" t="str">
        <f>IFERROR(VALUE(MID(tblHistory[[#This Row],[履歴ID]],2,20)),"")</f>
        <v/>
      </c>
      <c r="P63" s="61" t="str">
        <f>tblHistory[[#This Row],[案件ID]]&amp;"|"&amp;tblHistory[[#This Row],[ID番号]]</f>
        <v>|</v>
      </c>
      <c r="Q63" s="61">
        <f>IF(tblHistory[[#This Row],[結果]]="",0,IFERROR(IF(INDEX(lst_ResultReal,MATCH(tblHistory[[#This Row],[結果]],lst_Result,0))=1,1,0),0))</f>
        <v>0</v>
      </c>
      <c r="R6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4">
      <c r="A64" s="49" t="n"/>
      <c r="B64" s="49" t="n"/>
      <c r="C64" s="50" t="str">
        <f>IF(tblHistory[[#This Row],[案件ID]]="","",IFERROR(INDEX(tblCases[顧客名],MATCH(tblHistory[[#This Row],[案件ID]],tblCases[案件ID],0))&amp;"","（未登録の案件ID）"))</f>
        <v/>
      </c>
      <c r="D64" s="50" t="str">
        <f>IF(tblHistory[[#This Row],[案件ID]]="","",IFERROR(INDEX(tblCases[案件名],MATCH(tblHistory[[#This Row],[案件ID]],tblCases[案件ID],0))&amp;"",""))</f>
        <v/>
      </c>
      <c r="E64" s="64" t="n"/>
      <c r="F64" s="52" t="n"/>
      <c r="G64" s="52" t="n"/>
      <c r="H64" s="52" t="n"/>
      <c r="I64" s="55" t="str">
        <f>IF(tblHistory[[#This Row],[結果]]="","",IF(tblHistory[[#This Row],[実接点]]=1,"○","—"))</f>
        <v/>
      </c>
      <c r="J64" s="52" t="n"/>
      <c r="K64" s="51" t="n"/>
      <c r="L64" s="51" t="n"/>
      <c r="M64" s="51" t="n"/>
      <c r="N6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4" s="61" t="str">
        <f>IFERROR(VALUE(MID(tblHistory[[#This Row],[履歴ID]],2,20)),"")</f>
        <v/>
      </c>
      <c r="P64" s="61" t="str">
        <f>tblHistory[[#This Row],[案件ID]]&amp;"|"&amp;tblHistory[[#This Row],[ID番号]]</f>
        <v>|</v>
      </c>
      <c r="Q64" s="61">
        <f>IF(tblHistory[[#This Row],[結果]]="",0,IFERROR(IF(INDEX(lst_ResultReal,MATCH(tblHistory[[#This Row],[結果]],lst_Result,0))=1,1,0),0))</f>
        <v>0</v>
      </c>
      <c r="R6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5">
      <c r="A65" s="49" t="n"/>
      <c r="B65" s="49" t="n"/>
      <c r="C65" s="50" t="str">
        <f>IF(tblHistory[[#This Row],[案件ID]]="","",IFERROR(INDEX(tblCases[顧客名],MATCH(tblHistory[[#This Row],[案件ID]],tblCases[案件ID],0))&amp;"","（未登録の案件ID）"))</f>
        <v/>
      </c>
      <c r="D65" s="50" t="str">
        <f>IF(tblHistory[[#This Row],[案件ID]]="","",IFERROR(INDEX(tblCases[案件名],MATCH(tblHistory[[#This Row],[案件ID]],tblCases[案件ID],0))&amp;"",""))</f>
        <v/>
      </c>
      <c r="E65" s="64" t="n"/>
      <c r="F65" s="52" t="n"/>
      <c r="G65" s="52" t="n"/>
      <c r="H65" s="52" t="n"/>
      <c r="I65" s="55" t="str">
        <f>IF(tblHistory[[#This Row],[結果]]="","",IF(tblHistory[[#This Row],[実接点]]=1,"○","—"))</f>
        <v/>
      </c>
      <c r="J65" s="52" t="n"/>
      <c r="K65" s="51" t="n"/>
      <c r="L65" s="51" t="n"/>
      <c r="M65" s="51" t="n"/>
      <c r="N6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5" s="61" t="str">
        <f>IFERROR(VALUE(MID(tblHistory[[#This Row],[履歴ID]],2,20)),"")</f>
        <v/>
      </c>
      <c r="P65" s="61" t="str">
        <f>tblHistory[[#This Row],[案件ID]]&amp;"|"&amp;tblHistory[[#This Row],[ID番号]]</f>
        <v>|</v>
      </c>
      <c r="Q65" s="61">
        <f>IF(tblHistory[[#This Row],[結果]]="",0,IFERROR(IF(INDEX(lst_ResultReal,MATCH(tblHistory[[#This Row],[結果]],lst_Result,0))=1,1,0),0))</f>
        <v>0</v>
      </c>
      <c r="R6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6">
      <c r="A66" s="49" t="n"/>
      <c r="B66" s="49" t="n"/>
      <c r="C66" s="50" t="str">
        <f>IF(tblHistory[[#This Row],[案件ID]]="","",IFERROR(INDEX(tblCases[顧客名],MATCH(tblHistory[[#This Row],[案件ID]],tblCases[案件ID],0))&amp;"","（未登録の案件ID）"))</f>
        <v/>
      </c>
      <c r="D66" s="50" t="str">
        <f>IF(tblHistory[[#This Row],[案件ID]]="","",IFERROR(INDEX(tblCases[案件名],MATCH(tblHistory[[#This Row],[案件ID]],tblCases[案件ID],0))&amp;"",""))</f>
        <v/>
      </c>
      <c r="E66" s="64" t="n"/>
      <c r="F66" s="52" t="n"/>
      <c r="G66" s="52" t="n"/>
      <c r="H66" s="52" t="n"/>
      <c r="I66" s="55" t="str">
        <f>IF(tblHistory[[#This Row],[結果]]="","",IF(tblHistory[[#This Row],[実接点]]=1,"○","—"))</f>
        <v/>
      </c>
      <c r="J66" s="52" t="n"/>
      <c r="K66" s="51" t="n"/>
      <c r="L66" s="51" t="n"/>
      <c r="M66" s="51" t="n"/>
      <c r="N6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6" s="61" t="str">
        <f>IFERROR(VALUE(MID(tblHistory[[#This Row],[履歴ID]],2,20)),"")</f>
        <v/>
      </c>
      <c r="P66" s="61" t="str">
        <f>tblHistory[[#This Row],[案件ID]]&amp;"|"&amp;tblHistory[[#This Row],[ID番号]]</f>
        <v>|</v>
      </c>
      <c r="Q66" s="61">
        <f>IF(tblHistory[[#This Row],[結果]]="",0,IFERROR(IF(INDEX(lst_ResultReal,MATCH(tblHistory[[#This Row],[結果]],lst_Result,0))=1,1,0),0))</f>
        <v>0</v>
      </c>
      <c r="R6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7">
      <c r="A67" s="49" t="n"/>
      <c r="B67" s="49" t="n"/>
      <c r="C67" s="50" t="str">
        <f>IF(tblHistory[[#This Row],[案件ID]]="","",IFERROR(INDEX(tblCases[顧客名],MATCH(tblHistory[[#This Row],[案件ID]],tblCases[案件ID],0))&amp;"","（未登録の案件ID）"))</f>
        <v/>
      </c>
      <c r="D67" s="50" t="str">
        <f>IF(tblHistory[[#This Row],[案件ID]]="","",IFERROR(INDEX(tblCases[案件名],MATCH(tblHistory[[#This Row],[案件ID]],tblCases[案件ID],0))&amp;"",""))</f>
        <v/>
      </c>
      <c r="E67" s="64" t="n"/>
      <c r="F67" s="52" t="n"/>
      <c r="G67" s="52" t="n"/>
      <c r="H67" s="52" t="n"/>
      <c r="I67" s="55" t="str">
        <f>IF(tblHistory[[#This Row],[結果]]="","",IF(tblHistory[[#This Row],[実接点]]=1,"○","—"))</f>
        <v/>
      </c>
      <c r="J67" s="52" t="n"/>
      <c r="K67" s="51" t="n"/>
      <c r="L67" s="51" t="n"/>
      <c r="M67" s="51" t="n"/>
      <c r="N6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7" s="61" t="str">
        <f>IFERROR(VALUE(MID(tblHistory[[#This Row],[履歴ID]],2,20)),"")</f>
        <v/>
      </c>
      <c r="P67" s="61" t="str">
        <f>tblHistory[[#This Row],[案件ID]]&amp;"|"&amp;tblHistory[[#This Row],[ID番号]]</f>
        <v>|</v>
      </c>
      <c r="Q67" s="61">
        <f>IF(tblHistory[[#This Row],[結果]]="",0,IFERROR(IF(INDEX(lst_ResultReal,MATCH(tblHistory[[#This Row],[結果]],lst_Result,0))=1,1,0),0))</f>
        <v>0</v>
      </c>
      <c r="R6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8">
      <c r="A68" s="49" t="n"/>
      <c r="B68" s="49" t="n"/>
      <c r="C68" s="50" t="str">
        <f>IF(tblHistory[[#This Row],[案件ID]]="","",IFERROR(INDEX(tblCases[顧客名],MATCH(tblHistory[[#This Row],[案件ID]],tblCases[案件ID],0))&amp;"","（未登録の案件ID）"))</f>
        <v/>
      </c>
      <c r="D68" s="50" t="str">
        <f>IF(tblHistory[[#This Row],[案件ID]]="","",IFERROR(INDEX(tblCases[案件名],MATCH(tblHistory[[#This Row],[案件ID]],tblCases[案件ID],0))&amp;"",""))</f>
        <v/>
      </c>
      <c r="E68" s="64" t="n"/>
      <c r="F68" s="52" t="n"/>
      <c r="G68" s="52" t="n"/>
      <c r="H68" s="52" t="n"/>
      <c r="I68" s="55" t="str">
        <f>IF(tblHistory[[#This Row],[結果]]="","",IF(tblHistory[[#This Row],[実接点]]=1,"○","—"))</f>
        <v/>
      </c>
      <c r="J68" s="52" t="n"/>
      <c r="K68" s="51" t="n"/>
      <c r="L68" s="51" t="n"/>
      <c r="M68" s="51" t="n"/>
      <c r="N6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8" s="61" t="str">
        <f>IFERROR(VALUE(MID(tblHistory[[#This Row],[履歴ID]],2,20)),"")</f>
        <v/>
      </c>
      <c r="P68" s="61" t="str">
        <f>tblHistory[[#This Row],[案件ID]]&amp;"|"&amp;tblHistory[[#This Row],[ID番号]]</f>
        <v>|</v>
      </c>
      <c r="Q68" s="61">
        <f>IF(tblHistory[[#This Row],[結果]]="",0,IFERROR(IF(INDEX(lst_ResultReal,MATCH(tblHistory[[#This Row],[結果]],lst_Result,0))=1,1,0),0))</f>
        <v>0</v>
      </c>
      <c r="R6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69">
      <c r="A69" s="49" t="n"/>
      <c r="B69" s="49" t="n"/>
      <c r="C69" s="50" t="str">
        <f>IF(tblHistory[[#This Row],[案件ID]]="","",IFERROR(INDEX(tblCases[顧客名],MATCH(tblHistory[[#This Row],[案件ID]],tblCases[案件ID],0))&amp;"","（未登録の案件ID）"))</f>
        <v/>
      </c>
      <c r="D69" s="50" t="str">
        <f>IF(tblHistory[[#This Row],[案件ID]]="","",IFERROR(INDEX(tblCases[案件名],MATCH(tblHistory[[#This Row],[案件ID]],tblCases[案件ID],0))&amp;"",""))</f>
        <v/>
      </c>
      <c r="E69" s="64" t="n"/>
      <c r="F69" s="52" t="n"/>
      <c r="G69" s="52" t="n"/>
      <c r="H69" s="52" t="n"/>
      <c r="I69" s="55" t="str">
        <f>IF(tblHistory[[#This Row],[結果]]="","",IF(tblHistory[[#This Row],[実接点]]=1,"○","—"))</f>
        <v/>
      </c>
      <c r="J69" s="52" t="n"/>
      <c r="K69" s="51" t="n"/>
      <c r="L69" s="51" t="n"/>
      <c r="M69" s="51" t="n"/>
      <c r="N6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69" s="61" t="str">
        <f>IFERROR(VALUE(MID(tblHistory[[#This Row],[履歴ID]],2,20)),"")</f>
        <v/>
      </c>
      <c r="P69" s="61" t="str">
        <f>tblHistory[[#This Row],[案件ID]]&amp;"|"&amp;tblHistory[[#This Row],[ID番号]]</f>
        <v>|</v>
      </c>
      <c r="Q69" s="61">
        <f>IF(tblHistory[[#This Row],[結果]]="",0,IFERROR(IF(INDEX(lst_ResultReal,MATCH(tblHistory[[#This Row],[結果]],lst_Result,0))=1,1,0),0))</f>
        <v>0</v>
      </c>
      <c r="R6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0">
      <c r="A70" s="49" t="n"/>
      <c r="B70" s="49" t="n"/>
      <c r="C70" s="50" t="str">
        <f>IF(tblHistory[[#This Row],[案件ID]]="","",IFERROR(INDEX(tblCases[顧客名],MATCH(tblHistory[[#This Row],[案件ID]],tblCases[案件ID],0))&amp;"","（未登録の案件ID）"))</f>
        <v/>
      </c>
      <c r="D70" s="50" t="str">
        <f>IF(tblHistory[[#This Row],[案件ID]]="","",IFERROR(INDEX(tblCases[案件名],MATCH(tblHistory[[#This Row],[案件ID]],tblCases[案件ID],0))&amp;"",""))</f>
        <v/>
      </c>
      <c r="E70" s="64" t="n"/>
      <c r="F70" s="52" t="n"/>
      <c r="G70" s="52" t="n"/>
      <c r="H70" s="52" t="n"/>
      <c r="I70" s="55" t="str">
        <f>IF(tblHistory[[#This Row],[結果]]="","",IF(tblHistory[[#This Row],[実接点]]=1,"○","—"))</f>
        <v/>
      </c>
      <c r="J70" s="52" t="n"/>
      <c r="K70" s="51" t="n"/>
      <c r="L70" s="51" t="n"/>
      <c r="M70" s="51" t="n"/>
      <c r="N7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0" s="61" t="str">
        <f>IFERROR(VALUE(MID(tblHistory[[#This Row],[履歴ID]],2,20)),"")</f>
        <v/>
      </c>
      <c r="P70" s="61" t="str">
        <f>tblHistory[[#This Row],[案件ID]]&amp;"|"&amp;tblHistory[[#This Row],[ID番号]]</f>
        <v>|</v>
      </c>
      <c r="Q70" s="61">
        <f>IF(tblHistory[[#This Row],[結果]]="",0,IFERROR(IF(INDEX(lst_ResultReal,MATCH(tblHistory[[#This Row],[結果]],lst_Result,0))=1,1,0),0))</f>
        <v>0</v>
      </c>
      <c r="R7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1">
      <c r="A71" s="49" t="n"/>
      <c r="B71" s="49" t="n"/>
      <c r="C71" s="50" t="str">
        <f>IF(tblHistory[[#This Row],[案件ID]]="","",IFERROR(INDEX(tblCases[顧客名],MATCH(tblHistory[[#This Row],[案件ID]],tblCases[案件ID],0))&amp;"","（未登録の案件ID）"))</f>
        <v/>
      </c>
      <c r="D71" s="50" t="str">
        <f>IF(tblHistory[[#This Row],[案件ID]]="","",IFERROR(INDEX(tblCases[案件名],MATCH(tblHistory[[#This Row],[案件ID]],tblCases[案件ID],0))&amp;"",""))</f>
        <v/>
      </c>
      <c r="E71" s="64" t="n"/>
      <c r="F71" s="52" t="n"/>
      <c r="G71" s="52" t="n"/>
      <c r="H71" s="52" t="n"/>
      <c r="I71" s="55" t="str">
        <f>IF(tblHistory[[#This Row],[結果]]="","",IF(tblHistory[[#This Row],[実接点]]=1,"○","—"))</f>
        <v/>
      </c>
      <c r="J71" s="52" t="n"/>
      <c r="K71" s="51" t="n"/>
      <c r="L71" s="51" t="n"/>
      <c r="M71" s="51" t="n"/>
      <c r="N7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1" s="61" t="str">
        <f>IFERROR(VALUE(MID(tblHistory[[#This Row],[履歴ID]],2,20)),"")</f>
        <v/>
      </c>
      <c r="P71" s="61" t="str">
        <f>tblHistory[[#This Row],[案件ID]]&amp;"|"&amp;tblHistory[[#This Row],[ID番号]]</f>
        <v>|</v>
      </c>
      <c r="Q71" s="61">
        <f>IF(tblHistory[[#This Row],[結果]]="",0,IFERROR(IF(INDEX(lst_ResultReal,MATCH(tblHistory[[#This Row],[結果]],lst_Result,0))=1,1,0),0))</f>
        <v>0</v>
      </c>
      <c r="R7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2">
      <c r="A72" s="49" t="n"/>
      <c r="B72" s="49" t="n"/>
      <c r="C72" s="50" t="str">
        <f>IF(tblHistory[[#This Row],[案件ID]]="","",IFERROR(INDEX(tblCases[顧客名],MATCH(tblHistory[[#This Row],[案件ID]],tblCases[案件ID],0))&amp;"","（未登録の案件ID）"))</f>
        <v/>
      </c>
      <c r="D72" s="50" t="str">
        <f>IF(tblHistory[[#This Row],[案件ID]]="","",IFERROR(INDEX(tblCases[案件名],MATCH(tblHistory[[#This Row],[案件ID]],tblCases[案件ID],0))&amp;"",""))</f>
        <v/>
      </c>
      <c r="E72" s="64" t="n"/>
      <c r="F72" s="52" t="n"/>
      <c r="G72" s="52" t="n"/>
      <c r="H72" s="52" t="n"/>
      <c r="I72" s="55" t="str">
        <f>IF(tblHistory[[#This Row],[結果]]="","",IF(tblHistory[[#This Row],[実接点]]=1,"○","—"))</f>
        <v/>
      </c>
      <c r="J72" s="52" t="n"/>
      <c r="K72" s="51" t="n"/>
      <c r="L72" s="51" t="n"/>
      <c r="M72" s="51" t="n"/>
      <c r="N7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2" s="61" t="str">
        <f>IFERROR(VALUE(MID(tblHistory[[#This Row],[履歴ID]],2,20)),"")</f>
        <v/>
      </c>
      <c r="P72" s="61" t="str">
        <f>tblHistory[[#This Row],[案件ID]]&amp;"|"&amp;tblHistory[[#This Row],[ID番号]]</f>
        <v>|</v>
      </c>
      <c r="Q72" s="61">
        <f>IF(tblHistory[[#This Row],[結果]]="",0,IFERROR(IF(INDEX(lst_ResultReal,MATCH(tblHistory[[#This Row],[結果]],lst_Result,0))=1,1,0),0))</f>
        <v>0</v>
      </c>
      <c r="R7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3">
      <c r="A73" s="49" t="n"/>
      <c r="B73" s="49" t="n"/>
      <c r="C73" s="50" t="str">
        <f>IF(tblHistory[[#This Row],[案件ID]]="","",IFERROR(INDEX(tblCases[顧客名],MATCH(tblHistory[[#This Row],[案件ID]],tblCases[案件ID],0))&amp;"","（未登録の案件ID）"))</f>
        <v/>
      </c>
      <c r="D73" s="50" t="str">
        <f>IF(tblHistory[[#This Row],[案件ID]]="","",IFERROR(INDEX(tblCases[案件名],MATCH(tblHistory[[#This Row],[案件ID]],tblCases[案件ID],0))&amp;"",""))</f>
        <v/>
      </c>
      <c r="E73" s="64" t="n"/>
      <c r="F73" s="52" t="n"/>
      <c r="G73" s="52" t="n"/>
      <c r="H73" s="52" t="n"/>
      <c r="I73" s="55" t="str">
        <f>IF(tblHistory[[#This Row],[結果]]="","",IF(tblHistory[[#This Row],[実接点]]=1,"○","—"))</f>
        <v/>
      </c>
      <c r="J73" s="52" t="n"/>
      <c r="K73" s="51" t="n"/>
      <c r="L73" s="51" t="n"/>
      <c r="M73" s="51" t="n"/>
      <c r="N7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3" s="61" t="str">
        <f>IFERROR(VALUE(MID(tblHistory[[#This Row],[履歴ID]],2,20)),"")</f>
        <v/>
      </c>
      <c r="P73" s="61" t="str">
        <f>tblHistory[[#This Row],[案件ID]]&amp;"|"&amp;tblHistory[[#This Row],[ID番号]]</f>
        <v>|</v>
      </c>
      <c r="Q73" s="61">
        <f>IF(tblHistory[[#This Row],[結果]]="",0,IFERROR(IF(INDEX(lst_ResultReal,MATCH(tblHistory[[#This Row],[結果]],lst_Result,0))=1,1,0),0))</f>
        <v>0</v>
      </c>
      <c r="R7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4">
      <c r="A74" s="49" t="n"/>
      <c r="B74" s="49" t="n"/>
      <c r="C74" s="50" t="str">
        <f>IF(tblHistory[[#This Row],[案件ID]]="","",IFERROR(INDEX(tblCases[顧客名],MATCH(tblHistory[[#This Row],[案件ID]],tblCases[案件ID],0))&amp;"","（未登録の案件ID）"))</f>
        <v/>
      </c>
      <c r="D74" s="50" t="str">
        <f>IF(tblHistory[[#This Row],[案件ID]]="","",IFERROR(INDEX(tblCases[案件名],MATCH(tblHistory[[#This Row],[案件ID]],tblCases[案件ID],0))&amp;"",""))</f>
        <v/>
      </c>
      <c r="E74" s="64" t="n"/>
      <c r="F74" s="52" t="n"/>
      <c r="G74" s="52" t="n"/>
      <c r="H74" s="52" t="n"/>
      <c r="I74" s="55" t="str">
        <f>IF(tblHistory[[#This Row],[結果]]="","",IF(tblHistory[[#This Row],[実接点]]=1,"○","—"))</f>
        <v/>
      </c>
      <c r="J74" s="52" t="n"/>
      <c r="K74" s="51" t="n"/>
      <c r="L74" s="51" t="n"/>
      <c r="M74" s="51" t="n"/>
      <c r="N7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4" s="61" t="str">
        <f>IFERROR(VALUE(MID(tblHistory[[#This Row],[履歴ID]],2,20)),"")</f>
        <v/>
      </c>
      <c r="P74" s="61" t="str">
        <f>tblHistory[[#This Row],[案件ID]]&amp;"|"&amp;tblHistory[[#This Row],[ID番号]]</f>
        <v>|</v>
      </c>
      <c r="Q74" s="61">
        <f>IF(tblHistory[[#This Row],[結果]]="",0,IFERROR(IF(INDEX(lst_ResultReal,MATCH(tblHistory[[#This Row],[結果]],lst_Result,0))=1,1,0),0))</f>
        <v>0</v>
      </c>
      <c r="R7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5">
      <c r="A75" s="49" t="n"/>
      <c r="B75" s="49" t="n"/>
      <c r="C75" s="50" t="str">
        <f>IF(tblHistory[[#This Row],[案件ID]]="","",IFERROR(INDEX(tblCases[顧客名],MATCH(tblHistory[[#This Row],[案件ID]],tblCases[案件ID],0))&amp;"","（未登録の案件ID）"))</f>
        <v/>
      </c>
      <c r="D75" s="50" t="str">
        <f>IF(tblHistory[[#This Row],[案件ID]]="","",IFERROR(INDEX(tblCases[案件名],MATCH(tblHistory[[#This Row],[案件ID]],tblCases[案件ID],0))&amp;"",""))</f>
        <v/>
      </c>
      <c r="E75" s="64" t="n"/>
      <c r="F75" s="52" t="n"/>
      <c r="G75" s="52" t="n"/>
      <c r="H75" s="52" t="n"/>
      <c r="I75" s="55" t="str">
        <f>IF(tblHistory[[#This Row],[結果]]="","",IF(tblHistory[[#This Row],[実接点]]=1,"○","—"))</f>
        <v/>
      </c>
      <c r="J75" s="52" t="n"/>
      <c r="K75" s="51" t="n"/>
      <c r="L75" s="51" t="n"/>
      <c r="M75" s="51" t="n"/>
      <c r="N7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5" s="61" t="str">
        <f>IFERROR(VALUE(MID(tblHistory[[#This Row],[履歴ID]],2,20)),"")</f>
        <v/>
      </c>
      <c r="P75" s="61" t="str">
        <f>tblHistory[[#This Row],[案件ID]]&amp;"|"&amp;tblHistory[[#This Row],[ID番号]]</f>
        <v>|</v>
      </c>
      <c r="Q75" s="61">
        <f>IF(tblHistory[[#This Row],[結果]]="",0,IFERROR(IF(INDEX(lst_ResultReal,MATCH(tblHistory[[#This Row],[結果]],lst_Result,0))=1,1,0),0))</f>
        <v>0</v>
      </c>
      <c r="R7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6">
      <c r="A76" s="49" t="n"/>
      <c r="B76" s="49" t="n"/>
      <c r="C76" s="50" t="str">
        <f>IF(tblHistory[[#This Row],[案件ID]]="","",IFERROR(INDEX(tblCases[顧客名],MATCH(tblHistory[[#This Row],[案件ID]],tblCases[案件ID],0))&amp;"","（未登録の案件ID）"))</f>
        <v/>
      </c>
      <c r="D76" s="50" t="str">
        <f>IF(tblHistory[[#This Row],[案件ID]]="","",IFERROR(INDEX(tblCases[案件名],MATCH(tblHistory[[#This Row],[案件ID]],tblCases[案件ID],0))&amp;"",""))</f>
        <v/>
      </c>
      <c r="E76" s="64" t="n"/>
      <c r="F76" s="52" t="n"/>
      <c r="G76" s="52" t="n"/>
      <c r="H76" s="52" t="n"/>
      <c r="I76" s="55" t="str">
        <f>IF(tblHistory[[#This Row],[結果]]="","",IF(tblHistory[[#This Row],[実接点]]=1,"○","—"))</f>
        <v/>
      </c>
      <c r="J76" s="52" t="n"/>
      <c r="K76" s="51" t="n"/>
      <c r="L76" s="51" t="n"/>
      <c r="M76" s="51" t="n"/>
      <c r="N7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6" s="61" t="str">
        <f>IFERROR(VALUE(MID(tblHistory[[#This Row],[履歴ID]],2,20)),"")</f>
        <v/>
      </c>
      <c r="P76" s="61" t="str">
        <f>tblHistory[[#This Row],[案件ID]]&amp;"|"&amp;tblHistory[[#This Row],[ID番号]]</f>
        <v>|</v>
      </c>
      <c r="Q76" s="61">
        <f>IF(tblHistory[[#This Row],[結果]]="",0,IFERROR(IF(INDEX(lst_ResultReal,MATCH(tblHistory[[#This Row],[結果]],lst_Result,0))=1,1,0),0))</f>
        <v>0</v>
      </c>
      <c r="R7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7">
      <c r="A77" s="49" t="n"/>
      <c r="B77" s="49" t="n"/>
      <c r="C77" s="50" t="str">
        <f>IF(tblHistory[[#This Row],[案件ID]]="","",IFERROR(INDEX(tblCases[顧客名],MATCH(tblHistory[[#This Row],[案件ID]],tblCases[案件ID],0))&amp;"","（未登録の案件ID）"))</f>
        <v/>
      </c>
      <c r="D77" s="50" t="str">
        <f>IF(tblHistory[[#This Row],[案件ID]]="","",IFERROR(INDEX(tblCases[案件名],MATCH(tblHistory[[#This Row],[案件ID]],tblCases[案件ID],0))&amp;"",""))</f>
        <v/>
      </c>
      <c r="E77" s="64" t="n"/>
      <c r="F77" s="52" t="n"/>
      <c r="G77" s="52" t="n"/>
      <c r="H77" s="52" t="n"/>
      <c r="I77" s="55" t="str">
        <f>IF(tblHistory[[#This Row],[結果]]="","",IF(tblHistory[[#This Row],[実接点]]=1,"○","—"))</f>
        <v/>
      </c>
      <c r="J77" s="52" t="n"/>
      <c r="K77" s="51" t="n"/>
      <c r="L77" s="51" t="n"/>
      <c r="M77" s="51" t="n"/>
      <c r="N7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7" s="61" t="str">
        <f>IFERROR(VALUE(MID(tblHistory[[#This Row],[履歴ID]],2,20)),"")</f>
        <v/>
      </c>
      <c r="P77" s="61" t="str">
        <f>tblHistory[[#This Row],[案件ID]]&amp;"|"&amp;tblHistory[[#This Row],[ID番号]]</f>
        <v>|</v>
      </c>
      <c r="Q77" s="61">
        <f>IF(tblHistory[[#This Row],[結果]]="",0,IFERROR(IF(INDEX(lst_ResultReal,MATCH(tblHistory[[#This Row],[結果]],lst_Result,0))=1,1,0),0))</f>
        <v>0</v>
      </c>
      <c r="R7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8">
      <c r="A78" s="49" t="n"/>
      <c r="B78" s="49" t="n"/>
      <c r="C78" s="50" t="str">
        <f>IF(tblHistory[[#This Row],[案件ID]]="","",IFERROR(INDEX(tblCases[顧客名],MATCH(tblHistory[[#This Row],[案件ID]],tblCases[案件ID],0))&amp;"","（未登録の案件ID）"))</f>
        <v/>
      </c>
      <c r="D78" s="50" t="str">
        <f>IF(tblHistory[[#This Row],[案件ID]]="","",IFERROR(INDEX(tblCases[案件名],MATCH(tblHistory[[#This Row],[案件ID]],tblCases[案件ID],0))&amp;"",""))</f>
        <v/>
      </c>
      <c r="E78" s="64" t="n"/>
      <c r="F78" s="52" t="n"/>
      <c r="G78" s="52" t="n"/>
      <c r="H78" s="52" t="n"/>
      <c r="I78" s="55" t="str">
        <f>IF(tblHistory[[#This Row],[結果]]="","",IF(tblHistory[[#This Row],[実接点]]=1,"○","—"))</f>
        <v/>
      </c>
      <c r="J78" s="52" t="n"/>
      <c r="K78" s="51" t="n"/>
      <c r="L78" s="51" t="n"/>
      <c r="M78" s="51" t="n"/>
      <c r="N7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8" s="61" t="str">
        <f>IFERROR(VALUE(MID(tblHistory[[#This Row],[履歴ID]],2,20)),"")</f>
        <v/>
      </c>
      <c r="P78" s="61" t="str">
        <f>tblHistory[[#This Row],[案件ID]]&amp;"|"&amp;tblHistory[[#This Row],[ID番号]]</f>
        <v>|</v>
      </c>
      <c r="Q78" s="61">
        <f>IF(tblHistory[[#This Row],[結果]]="",0,IFERROR(IF(INDEX(lst_ResultReal,MATCH(tblHistory[[#This Row],[結果]],lst_Result,0))=1,1,0),0))</f>
        <v>0</v>
      </c>
      <c r="R7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79">
      <c r="A79" s="49" t="n"/>
      <c r="B79" s="49" t="n"/>
      <c r="C79" s="50" t="str">
        <f>IF(tblHistory[[#This Row],[案件ID]]="","",IFERROR(INDEX(tblCases[顧客名],MATCH(tblHistory[[#This Row],[案件ID]],tblCases[案件ID],0))&amp;"","（未登録の案件ID）"))</f>
        <v/>
      </c>
      <c r="D79" s="50" t="str">
        <f>IF(tblHistory[[#This Row],[案件ID]]="","",IFERROR(INDEX(tblCases[案件名],MATCH(tblHistory[[#This Row],[案件ID]],tblCases[案件ID],0))&amp;"",""))</f>
        <v/>
      </c>
      <c r="E79" s="64" t="n"/>
      <c r="F79" s="52" t="n"/>
      <c r="G79" s="52" t="n"/>
      <c r="H79" s="52" t="n"/>
      <c r="I79" s="55" t="str">
        <f>IF(tblHistory[[#This Row],[結果]]="","",IF(tblHistory[[#This Row],[実接点]]=1,"○","—"))</f>
        <v/>
      </c>
      <c r="J79" s="52" t="n"/>
      <c r="K79" s="51" t="n"/>
      <c r="L79" s="51" t="n"/>
      <c r="M79" s="51" t="n"/>
      <c r="N7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79" s="61" t="str">
        <f>IFERROR(VALUE(MID(tblHistory[[#This Row],[履歴ID]],2,20)),"")</f>
        <v/>
      </c>
      <c r="P79" s="61" t="str">
        <f>tblHistory[[#This Row],[案件ID]]&amp;"|"&amp;tblHistory[[#This Row],[ID番号]]</f>
        <v>|</v>
      </c>
      <c r="Q79" s="61">
        <f>IF(tblHistory[[#This Row],[結果]]="",0,IFERROR(IF(INDEX(lst_ResultReal,MATCH(tblHistory[[#This Row],[結果]],lst_Result,0))=1,1,0),0))</f>
        <v>0</v>
      </c>
      <c r="R7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0">
      <c r="A80" s="49" t="n"/>
      <c r="B80" s="49" t="n"/>
      <c r="C80" s="50" t="str">
        <f>IF(tblHistory[[#This Row],[案件ID]]="","",IFERROR(INDEX(tblCases[顧客名],MATCH(tblHistory[[#This Row],[案件ID]],tblCases[案件ID],0))&amp;"","（未登録の案件ID）"))</f>
        <v/>
      </c>
      <c r="D80" s="50" t="str">
        <f>IF(tblHistory[[#This Row],[案件ID]]="","",IFERROR(INDEX(tblCases[案件名],MATCH(tblHistory[[#This Row],[案件ID]],tblCases[案件ID],0))&amp;"",""))</f>
        <v/>
      </c>
      <c r="E80" s="64" t="n"/>
      <c r="F80" s="52" t="n"/>
      <c r="G80" s="52" t="n"/>
      <c r="H80" s="52" t="n"/>
      <c r="I80" s="55" t="str">
        <f>IF(tblHistory[[#This Row],[結果]]="","",IF(tblHistory[[#This Row],[実接点]]=1,"○","—"))</f>
        <v/>
      </c>
      <c r="J80" s="52" t="n"/>
      <c r="K80" s="51" t="n"/>
      <c r="L80" s="51" t="n"/>
      <c r="M80" s="51" t="n"/>
      <c r="N8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0" s="61" t="str">
        <f>IFERROR(VALUE(MID(tblHistory[[#This Row],[履歴ID]],2,20)),"")</f>
        <v/>
      </c>
      <c r="P80" s="61" t="str">
        <f>tblHistory[[#This Row],[案件ID]]&amp;"|"&amp;tblHistory[[#This Row],[ID番号]]</f>
        <v>|</v>
      </c>
      <c r="Q80" s="61">
        <f>IF(tblHistory[[#This Row],[結果]]="",0,IFERROR(IF(INDEX(lst_ResultReal,MATCH(tblHistory[[#This Row],[結果]],lst_Result,0))=1,1,0),0))</f>
        <v>0</v>
      </c>
      <c r="R8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1">
      <c r="A81" s="49" t="n"/>
      <c r="B81" s="49" t="n"/>
      <c r="C81" s="50" t="str">
        <f>IF(tblHistory[[#This Row],[案件ID]]="","",IFERROR(INDEX(tblCases[顧客名],MATCH(tblHistory[[#This Row],[案件ID]],tblCases[案件ID],0))&amp;"","（未登録の案件ID）"))</f>
        <v/>
      </c>
      <c r="D81" s="50" t="str">
        <f>IF(tblHistory[[#This Row],[案件ID]]="","",IFERROR(INDEX(tblCases[案件名],MATCH(tblHistory[[#This Row],[案件ID]],tblCases[案件ID],0))&amp;"",""))</f>
        <v/>
      </c>
      <c r="E81" s="64" t="n"/>
      <c r="F81" s="52" t="n"/>
      <c r="G81" s="52" t="n"/>
      <c r="H81" s="52" t="n"/>
      <c r="I81" s="55" t="str">
        <f>IF(tblHistory[[#This Row],[結果]]="","",IF(tblHistory[[#This Row],[実接点]]=1,"○","—"))</f>
        <v/>
      </c>
      <c r="J81" s="52" t="n"/>
      <c r="K81" s="51" t="n"/>
      <c r="L81" s="51" t="n"/>
      <c r="M81" s="51" t="n"/>
      <c r="N8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1" s="61" t="str">
        <f>IFERROR(VALUE(MID(tblHistory[[#This Row],[履歴ID]],2,20)),"")</f>
        <v/>
      </c>
      <c r="P81" s="61" t="str">
        <f>tblHistory[[#This Row],[案件ID]]&amp;"|"&amp;tblHistory[[#This Row],[ID番号]]</f>
        <v>|</v>
      </c>
      <c r="Q81" s="61">
        <f>IF(tblHistory[[#This Row],[結果]]="",0,IFERROR(IF(INDEX(lst_ResultReal,MATCH(tblHistory[[#This Row],[結果]],lst_Result,0))=1,1,0),0))</f>
        <v>0</v>
      </c>
      <c r="R8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2">
      <c r="A82" s="49" t="n"/>
      <c r="B82" s="49" t="n"/>
      <c r="C82" s="50" t="str">
        <f>IF(tblHistory[[#This Row],[案件ID]]="","",IFERROR(INDEX(tblCases[顧客名],MATCH(tblHistory[[#This Row],[案件ID]],tblCases[案件ID],0))&amp;"","（未登録の案件ID）"))</f>
        <v/>
      </c>
      <c r="D82" s="50" t="str">
        <f>IF(tblHistory[[#This Row],[案件ID]]="","",IFERROR(INDEX(tblCases[案件名],MATCH(tblHistory[[#This Row],[案件ID]],tblCases[案件ID],0))&amp;"",""))</f>
        <v/>
      </c>
      <c r="E82" s="64" t="n"/>
      <c r="F82" s="52" t="n"/>
      <c r="G82" s="52" t="n"/>
      <c r="H82" s="52" t="n"/>
      <c r="I82" s="55" t="str">
        <f>IF(tblHistory[[#This Row],[結果]]="","",IF(tblHistory[[#This Row],[実接点]]=1,"○","—"))</f>
        <v/>
      </c>
      <c r="J82" s="52" t="n"/>
      <c r="K82" s="51" t="n"/>
      <c r="L82" s="51" t="n"/>
      <c r="M82" s="51" t="n"/>
      <c r="N8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2" s="61" t="str">
        <f>IFERROR(VALUE(MID(tblHistory[[#This Row],[履歴ID]],2,20)),"")</f>
        <v/>
      </c>
      <c r="P82" s="61" t="str">
        <f>tblHistory[[#This Row],[案件ID]]&amp;"|"&amp;tblHistory[[#This Row],[ID番号]]</f>
        <v>|</v>
      </c>
      <c r="Q82" s="61">
        <f>IF(tblHistory[[#This Row],[結果]]="",0,IFERROR(IF(INDEX(lst_ResultReal,MATCH(tblHistory[[#This Row],[結果]],lst_Result,0))=1,1,0),0))</f>
        <v>0</v>
      </c>
      <c r="R8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3">
      <c r="A83" s="49" t="n"/>
      <c r="B83" s="49" t="n"/>
      <c r="C83" s="50" t="str">
        <f>IF(tblHistory[[#This Row],[案件ID]]="","",IFERROR(INDEX(tblCases[顧客名],MATCH(tblHistory[[#This Row],[案件ID]],tblCases[案件ID],0))&amp;"","（未登録の案件ID）"))</f>
        <v/>
      </c>
      <c r="D83" s="50" t="str">
        <f>IF(tblHistory[[#This Row],[案件ID]]="","",IFERROR(INDEX(tblCases[案件名],MATCH(tblHistory[[#This Row],[案件ID]],tblCases[案件ID],0))&amp;"",""))</f>
        <v/>
      </c>
      <c r="E83" s="64" t="n"/>
      <c r="F83" s="52" t="n"/>
      <c r="G83" s="52" t="n"/>
      <c r="H83" s="52" t="n"/>
      <c r="I83" s="55" t="str">
        <f>IF(tblHistory[[#This Row],[結果]]="","",IF(tblHistory[[#This Row],[実接点]]=1,"○","—"))</f>
        <v/>
      </c>
      <c r="J83" s="52" t="n"/>
      <c r="K83" s="51" t="n"/>
      <c r="L83" s="51" t="n"/>
      <c r="M83" s="51" t="n"/>
      <c r="N8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3" s="61" t="str">
        <f>IFERROR(VALUE(MID(tblHistory[[#This Row],[履歴ID]],2,20)),"")</f>
        <v/>
      </c>
      <c r="P83" s="61" t="str">
        <f>tblHistory[[#This Row],[案件ID]]&amp;"|"&amp;tblHistory[[#This Row],[ID番号]]</f>
        <v>|</v>
      </c>
      <c r="Q83" s="61">
        <f>IF(tblHistory[[#This Row],[結果]]="",0,IFERROR(IF(INDEX(lst_ResultReal,MATCH(tblHistory[[#This Row],[結果]],lst_Result,0))=1,1,0),0))</f>
        <v>0</v>
      </c>
      <c r="R8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4">
      <c r="A84" s="49" t="n"/>
      <c r="B84" s="49" t="n"/>
      <c r="C84" s="50" t="str">
        <f>IF(tblHistory[[#This Row],[案件ID]]="","",IFERROR(INDEX(tblCases[顧客名],MATCH(tblHistory[[#This Row],[案件ID]],tblCases[案件ID],0))&amp;"","（未登録の案件ID）"))</f>
        <v/>
      </c>
      <c r="D84" s="50" t="str">
        <f>IF(tblHistory[[#This Row],[案件ID]]="","",IFERROR(INDEX(tblCases[案件名],MATCH(tblHistory[[#This Row],[案件ID]],tblCases[案件ID],0))&amp;"",""))</f>
        <v/>
      </c>
      <c r="E84" s="64" t="n"/>
      <c r="F84" s="52" t="n"/>
      <c r="G84" s="52" t="n"/>
      <c r="H84" s="52" t="n"/>
      <c r="I84" s="55" t="str">
        <f>IF(tblHistory[[#This Row],[結果]]="","",IF(tblHistory[[#This Row],[実接点]]=1,"○","—"))</f>
        <v/>
      </c>
      <c r="J84" s="52" t="n"/>
      <c r="K84" s="51" t="n"/>
      <c r="L84" s="51" t="n"/>
      <c r="M84" s="51" t="n"/>
      <c r="N8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4" s="61" t="str">
        <f>IFERROR(VALUE(MID(tblHistory[[#This Row],[履歴ID]],2,20)),"")</f>
        <v/>
      </c>
      <c r="P84" s="61" t="str">
        <f>tblHistory[[#This Row],[案件ID]]&amp;"|"&amp;tblHistory[[#This Row],[ID番号]]</f>
        <v>|</v>
      </c>
      <c r="Q84" s="61">
        <f>IF(tblHistory[[#This Row],[結果]]="",0,IFERROR(IF(INDEX(lst_ResultReal,MATCH(tblHistory[[#This Row],[結果]],lst_Result,0))=1,1,0),0))</f>
        <v>0</v>
      </c>
      <c r="R8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5">
      <c r="A85" s="49" t="n"/>
      <c r="B85" s="49" t="n"/>
      <c r="C85" s="50" t="str">
        <f>IF(tblHistory[[#This Row],[案件ID]]="","",IFERROR(INDEX(tblCases[顧客名],MATCH(tblHistory[[#This Row],[案件ID]],tblCases[案件ID],0))&amp;"","（未登録の案件ID）"))</f>
        <v/>
      </c>
      <c r="D85" s="50" t="str">
        <f>IF(tblHistory[[#This Row],[案件ID]]="","",IFERROR(INDEX(tblCases[案件名],MATCH(tblHistory[[#This Row],[案件ID]],tblCases[案件ID],0))&amp;"",""))</f>
        <v/>
      </c>
      <c r="E85" s="64" t="n"/>
      <c r="F85" s="52" t="n"/>
      <c r="G85" s="52" t="n"/>
      <c r="H85" s="52" t="n"/>
      <c r="I85" s="55" t="str">
        <f>IF(tblHistory[[#This Row],[結果]]="","",IF(tblHistory[[#This Row],[実接点]]=1,"○","—"))</f>
        <v/>
      </c>
      <c r="J85" s="52" t="n"/>
      <c r="K85" s="51" t="n"/>
      <c r="L85" s="51" t="n"/>
      <c r="M85" s="51" t="n"/>
      <c r="N8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5" s="61" t="str">
        <f>IFERROR(VALUE(MID(tblHistory[[#This Row],[履歴ID]],2,20)),"")</f>
        <v/>
      </c>
      <c r="P85" s="61" t="str">
        <f>tblHistory[[#This Row],[案件ID]]&amp;"|"&amp;tblHistory[[#This Row],[ID番号]]</f>
        <v>|</v>
      </c>
      <c r="Q85" s="61">
        <f>IF(tblHistory[[#This Row],[結果]]="",0,IFERROR(IF(INDEX(lst_ResultReal,MATCH(tblHistory[[#This Row],[結果]],lst_Result,0))=1,1,0),0))</f>
        <v>0</v>
      </c>
      <c r="R8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6">
      <c r="A86" s="49" t="n"/>
      <c r="B86" s="49" t="n"/>
      <c r="C86" s="50" t="str">
        <f>IF(tblHistory[[#This Row],[案件ID]]="","",IFERROR(INDEX(tblCases[顧客名],MATCH(tblHistory[[#This Row],[案件ID]],tblCases[案件ID],0))&amp;"","（未登録の案件ID）"))</f>
        <v/>
      </c>
      <c r="D86" s="50" t="str">
        <f>IF(tblHistory[[#This Row],[案件ID]]="","",IFERROR(INDEX(tblCases[案件名],MATCH(tblHistory[[#This Row],[案件ID]],tblCases[案件ID],0))&amp;"",""))</f>
        <v/>
      </c>
      <c r="E86" s="64" t="n"/>
      <c r="F86" s="52" t="n"/>
      <c r="G86" s="52" t="n"/>
      <c r="H86" s="52" t="n"/>
      <c r="I86" s="55" t="str">
        <f>IF(tblHistory[[#This Row],[結果]]="","",IF(tblHistory[[#This Row],[実接点]]=1,"○","—"))</f>
        <v/>
      </c>
      <c r="J86" s="52" t="n"/>
      <c r="K86" s="51" t="n"/>
      <c r="L86" s="51" t="n"/>
      <c r="M86" s="51" t="n"/>
      <c r="N8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6" s="61" t="str">
        <f>IFERROR(VALUE(MID(tblHistory[[#This Row],[履歴ID]],2,20)),"")</f>
        <v/>
      </c>
      <c r="P86" s="61" t="str">
        <f>tblHistory[[#This Row],[案件ID]]&amp;"|"&amp;tblHistory[[#This Row],[ID番号]]</f>
        <v>|</v>
      </c>
      <c r="Q86" s="61">
        <f>IF(tblHistory[[#This Row],[結果]]="",0,IFERROR(IF(INDEX(lst_ResultReal,MATCH(tblHistory[[#This Row],[結果]],lst_Result,0))=1,1,0),0))</f>
        <v>0</v>
      </c>
      <c r="R8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7">
      <c r="A87" s="49" t="n"/>
      <c r="B87" s="49" t="n"/>
      <c r="C87" s="50" t="str">
        <f>IF(tblHistory[[#This Row],[案件ID]]="","",IFERROR(INDEX(tblCases[顧客名],MATCH(tblHistory[[#This Row],[案件ID]],tblCases[案件ID],0))&amp;"","（未登録の案件ID）"))</f>
        <v/>
      </c>
      <c r="D87" s="50" t="str">
        <f>IF(tblHistory[[#This Row],[案件ID]]="","",IFERROR(INDEX(tblCases[案件名],MATCH(tblHistory[[#This Row],[案件ID]],tblCases[案件ID],0))&amp;"",""))</f>
        <v/>
      </c>
      <c r="E87" s="64" t="n"/>
      <c r="F87" s="52" t="n"/>
      <c r="G87" s="52" t="n"/>
      <c r="H87" s="52" t="n"/>
      <c r="I87" s="55" t="str">
        <f>IF(tblHistory[[#This Row],[結果]]="","",IF(tblHistory[[#This Row],[実接点]]=1,"○","—"))</f>
        <v/>
      </c>
      <c r="J87" s="52" t="n"/>
      <c r="K87" s="51" t="n"/>
      <c r="L87" s="51" t="n"/>
      <c r="M87" s="51" t="n"/>
      <c r="N8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7" s="61" t="str">
        <f>IFERROR(VALUE(MID(tblHistory[[#This Row],[履歴ID]],2,20)),"")</f>
        <v/>
      </c>
      <c r="P87" s="61" t="str">
        <f>tblHistory[[#This Row],[案件ID]]&amp;"|"&amp;tblHistory[[#This Row],[ID番号]]</f>
        <v>|</v>
      </c>
      <c r="Q87" s="61">
        <f>IF(tblHistory[[#This Row],[結果]]="",0,IFERROR(IF(INDEX(lst_ResultReal,MATCH(tblHistory[[#This Row],[結果]],lst_Result,0))=1,1,0),0))</f>
        <v>0</v>
      </c>
      <c r="R8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8">
      <c r="A88" s="49" t="n"/>
      <c r="B88" s="49" t="n"/>
      <c r="C88" s="50" t="str">
        <f>IF(tblHistory[[#This Row],[案件ID]]="","",IFERROR(INDEX(tblCases[顧客名],MATCH(tblHistory[[#This Row],[案件ID]],tblCases[案件ID],0))&amp;"","（未登録の案件ID）"))</f>
        <v/>
      </c>
      <c r="D88" s="50" t="str">
        <f>IF(tblHistory[[#This Row],[案件ID]]="","",IFERROR(INDEX(tblCases[案件名],MATCH(tblHistory[[#This Row],[案件ID]],tblCases[案件ID],0))&amp;"",""))</f>
        <v/>
      </c>
      <c r="E88" s="64" t="n"/>
      <c r="F88" s="52" t="n"/>
      <c r="G88" s="52" t="n"/>
      <c r="H88" s="52" t="n"/>
      <c r="I88" s="55" t="str">
        <f>IF(tblHistory[[#This Row],[結果]]="","",IF(tblHistory[[#This Row],[実接点]]=1,"○","—"))</f>
        <v/>
      </c>
      <c r="J88" s="52" t="n"/>
      <c r="K88" s="51" t="n"/>
      <c r="L88" s="51" t="n"/>
      <c r="M88" s="51" t="n"/>
      <c r="N8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8" s="61" t="str">
        <f>IFERROR(VALUE(MID(tblHistory[[#This Row],[履歴ID]],2,20)),"")</f>
        <v/>
      </c>
      <c r="P88" s="61" t="str">
        <f>tblHistory[[#This Row],[案件ID]]&amp;"|"&amp;tblHistory[[#This Row],[ID番号]]</f>
        <v>|</v>
      </c>
      <c r="Q88" s="61">
        <f>IF(tblHistory[[#This Row],[結果]]="",0,IFERROR(IF(INDEX(lst_ResultReal,MATCH(tblHistory[[#This Row],[結果]],lst_Result,0))=1,1,0),0))</f>
        <v>0</v>
      </c>
      <c r="R8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89">
      <c r="A89" s="49" t="n"/>
      <c r="B89" s="49" t="n"/>
      <c r="C89" s="50" t="str">
        <f>IF(tblHistory[[#This Row],[案件ID]]="","",IFERROR(INDEX(tblCases[顧客名],MATCH(tblHistory[[#This Row],[案件ID]],tblCases[案件ID],0))&amp;"","（未登録の案件ID）"))</f>
        <v/>
      </c>
      <c r="D89" s="50" t="str">
        <f>IF(tblHistory[[#This Row],[案件ID]]="","",IFERROR(INDEX(tblCases[案件名],MATCH(tblHistory[[#This Row],[案件ID]],tblCases[案件ID],0))&amp;"",""))</f>
        <v/>
      </c>
      <c r="E89" s="64" t="n"/>
      <c r="F89" s="52" t="n"/>
      <c r="G89" s="52" t="n"/>
      <c r="H89" s="52" t="n"/>
      <c r="I89" s="55" t="str">
        <f>IF(tblHistory[[#This Row],[結果]]="","",IF(tblHistory[[#This Row],[実接点]]=1,"○","—"))</f>
        <v/>
      </c>
      <c r="J89" s="52" t="n"/>
      <c r="K89" s="51" t="n"/>
      <c r="L89" s="51" t="n"/>
      <c r="M89" s="51" t="n"/>
      <c r="N8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89" s="61" t="str">
        <f>IFERROR(VALUE(MID(tblHistory[[#This Row],[履歴ID]],2,20)),"")</f>
        <v/>
      </c>
      <c r="P89" s="61" t="str">
        <f>tblHistory[[#This Row],[案件ID]]&amp;"|"&amp;tblHistory[[#This Row],[ID番号]]</f>
        <v>|</v>
      </c>
      <c r="Q89" s="61">
        <f>IF(tblHistory[[#This Row],[結果]]="",0,IFERROR(IF(INDEX(lst_ResultReal,MATCH(tblHistory[[#This Row],[結果]],lst_Result,0))=1,1,0),0))</f>
        <v>0</v>
      </c>
      <c r="R8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0">
      <c r="A90" s="49" t="n"/>
      <c r="B90" s="49" t="n"/>
      <c r="C90" s="50" t="str">
        <f>IF(tblHistory[[#This Row],[案件ID]]="","",IFERROR(INDEX(tblCases[顧客名],MATCH(tblHistory[[#This Row],[案件ID]],tblCases[案件ID],0))&amp;"","（未登録の案件ID）"))</f>
        <v/>
      </c>
      <c r="D90" s="50" t="str">
        <f>IF(tblHistory[[#This Row],[案件ID]]="","",IFERROR(INDEX(tblCases[案件名],MATCH(tblHistory[[#This Row],[案件ID]],tblCases[案件ID],0))&amp;"",""))</f>
        <v/>
      </c>
      <c r="E90" s="64" t="n"/>
      <c r="F90" s="52" t="n"/>
      <c r="G90" s="52" t="n"/>
      <c r="H90" s="52" t="n"/>
      <c r="I90" s="55" t="str">
        <f>IF(tblHistory[[#This Row],[結果]]="","",IF(tblHistory[[#This Row],[実接点]]=1,"○","—"))</f>
        <v/>
      </c>
      <c r="J90" s="52" t="n"/>
      <c r="K90" s="51" t="n"/>
      <c r="L90" s="51" t="n"/>
      <c r="M90" s="51" t="n"/>
      <c r="N9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0" s="61" t="str">
        <f>IFERROR(VALUE(MID(tblHistory[[#This Row],[履歴ID]],2,20)),"")</f>
        <v/>
      </c>
      <c r="P90" s="61" t="str">
        <f>tblHistory[[#This Row],[案件ID]]&amp;"|"&amp;tblHistory[[#This Row],[ID番号]]</f>
        <v>|</v>
      </c>
      <c r="Q90" s="61">
        <f>IF(tblHistory[[#This Row],[結果]]="",0,IFERROR(IF(INDEX(lst_ResultReal,MATCH(tblHistory[[#This Row],[結果]],lst_Result,0))=1,1,0),0))</f>
        <v>0</v>
      </c>
      <c r="R9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1">
      <c r="A91" s="49" t="n"/>
      <c r="B91" s="49" t="n"/>
      <c r="C91" s="50" t="str">
        <f>IF(tblHistory[[#This Row],[案件ID]]="","",IFERROR(INDEX(tblCases[顧客名],MATCH(tblHistory[[#This Row],[案件ID]],tblCases[案件ID],0))&amp;"","（未登録の案件ID）"))</f>
        <v/>
      </c>
      <c r="D91" s="50" t="str">
        <f>IF(tblHistory[[#This Row],[案件ID]]="","",IFERROR(INDEX(tblCases[案件名],MATCH(tblHistory[[#This Row],[案件ID]],tblCases[案件ID],0))&amp;"",""))</f>
        <v/>
      </c>
      <c r="E91" s="64" t="n"/>
      <c r="F91" s="52" t="n"/>
      <c r="G91" s="52" t="n"/>
      <c r="H91" s="52" t="n"/>
      <c r="I91" s="55" t="str">
        <f>IF(tblHistory[[#This Row],[結果]]="","",IF(tblHistory[[#This Row],[実接点]]=1,"○","—"))</f>
        <v/>
      </c>
      <c r="J91" s="52" t="n"/>
      <c r="K91" s="51" t="n"/>
      <c r="L91" s="51" t="n"/>
      <c r="M91" s="51" t="n"/>
      <c r="N9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1" s="61" t="str">
        <f>IFERROR(VALUE(MID(tblHistory[[#This Row],[履歴ID]],2,20)),"")</f>
        <v/>
      </c>
      <c r="P91" s="61" t="str">
        <f>tblHistory[[#This Row],[案件ID]]&amp;"|"&amp;tblHistory[[#This Row],[ID番号]]</f>
        <v>|</v>
      </c>
      <c r="Q91" s="61">
        <f>IF(tblHistory[[#This Row],[結果]]="",0,IFERROR(IF(INDEX(lst_ResultReal,MATCH(tblHistory[[#This Row],[結果]],lst_Result,0))=1,1,0),0))</f>
        <v>0</v>
      </c>
      <c r="R9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2">
      <c r="A92" s="49" t="n"/>
      <c r="B92" s="49" t="n"/>
      <c r="C92" s="50" t="str">
        <f>IF(tblHistory[[#This Row],[案件ID]]="","",IFERROR(INDEX(tblCases[顧客名],MATCH(tblHistory[[#This Row],[案件ID]],tblCases[案件ID],0))&amp;"","（未登録の案件ID）"))</f>
        <v/>
      </c>
      <c r="D92" s="50" t="str">
        <f>IF(tblHistory[[#This Row],[案件ID]]="","",IFERROR(INDEX(tblCases[案件名],MATCH(tblHistory[[#This Row],[案件ID]],tblCases[案件ID],0))&amp;"",""))</f>
        <v/>
      </c>
      <c r="E92" s="64" t="n"/>
      <c r="F92" s="52" t="n"/>
      <c r="G92" s="52" t="n"/>
      <c r="H92" s="52" t="n"/>
      <c r="I92" s="55" t="str">
        <f>IF(tblHistory[[#This Row],[結果]]="","",IF(tblHistory[[#This Row],[実接点]]=1,"○","—"))</f>
        <v/>
      </c>
      <c r="J92" s="52" t="n"/>
      <c r="K92" s="51" t="n"/>
      <c r="L92" s="51" t="n"/>
      <c r="M92" s="51" t="n"/>
      <c r="N9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2" s="61" t="str">
        <f>IFERROR(VALUE(MID(tblHistory[[#This Row],[履歴ID]],2,20)),"")</f>
        <v/>
      </c>
      <c r="P92" s="61" t="str">
        <f>tblHistory[[#This Row],[案件ID]]&amp;"|"&amp;tblHistory[[#This Row],[ID番号]]</f>
        <v>|</v>
      </c>
      <c r="Q92" s="61">
        <f>IF(tblHistory[[#This Row],[結果]]="",0,IFERROR(IF(INDEX(lst_ResultReal,MATCH(tblHistory[[#This Row],[結果]],lst_Result,0))=1,1,0),0))</f>
        <v>0</v>
      </c>
      <c r="R9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3">
      <c r="A93" s="49" t="n"/>
      <c r="B93" s="49" t="n"/>
      <c r="C93" s="50" t="str">
        <f>IF(tblHistory[[#This Row],[案件ID]]="","",IFERROR(INDEX(tblCases[顧客名],MATCH(tblHistory[[#This Row],[案件ID]],tblCases[案件ID],0))&amp;"","（未登録の案件ID）"))</f>
        <v/>
      </c>
      <c r="D93" s="50" t="str">
        <f>IF(tblHistory[[#This Row],[案件ID]]="","",IFERROR(INDEX(tblCases[案件名],MATCH(tblHistory[[#This Row],[案件ID]],tblCases[案件ID],0))&amp;"",""))</f>
        <v/>
      </c>
      <c r="E93" s="64" t="n"/>
      <c r="F93" s="52" t="n"/>
      <c r="G93" s="52" t="n"/>
      <c r="H93" s="52" t="n"/>
      <c r="I93" s="55" t="str">
        <f>IF(tblHistory[[#This Row],[結果]]="","",IF(tblHistory[[#This Row],[実接点]]=1,"○","—"))</f>
        <v/>
      </c>
      <c r="J93" s="52" t="n"/>
      <c r="K93" s="51" t="n"/>
      <c r="L93" s="51" t="n"/>
      <c r="M93" s="51" t="n"/>
      <c r="N9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3" s="61" t="str">
        <f>IFERROR(VALUE(MID(tblHistory[[#This Row],[履歴ID]],2,20)),"")</f>
        <v/>
      </c>
      <c r="P93" s="61" t="str">
        <f>tblHistory[[#This Row],[案件ID]]&amp;"|"&amp;tblHistory[[#This Row],[ID番号]]</f>
        <v>|</v>
      </c>
      <c r="Q93" s="61">
        <f>IF(tblHistory[[#This Row],[結果]]="",0,IFERROR(IF(INDEX(lst_ResultReal,MATCH(tblHistory[[#This Row],[結果]],lst_Result,0))=1,1,0),0))</f>
        <v>0</v>
      </c>
      <c r="R9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4">
      <c r="A94" s="49" t="n"/>
      <c r="B94" s="49" t="n"/>
      <c r="C94" s="50" t="str">
        <f>IF(tblHistory[[#This Row],[案件ID]]="","",IFERROR(INDEX(tblCases[顧客名],MATCH(tblHistory[[#This Row],[案件ID]],tblCases[案件ID],0))&amp;"","（未登録の案件ID）"))</f>
        <v/>
      </c>
      <c r="D94" s="50" t="str">
        <f>IF(tblHistory[[#This Row],[案件ID]]="","",IFERROR(INDEX(tblCases[案件名],MATCH(tblHistory[[#This Row],[案件ID]],tblCases[案件ID],0))&amp;"",""))</f>
        <v/>
      </c>
      <c r="E94" s="64" t="n"/>
      <c r="F94" s="52" t="n"/>
      <c r="G94" s="52" t="n"/>
      <c r="H94" s="52" t="n"/>
      <c r="I94" s="55" t="str">
        <f>IF(tblHistory[[#This Row],[結果]]="","",IF(tblHistory[[#This Row],[実接点]]=1,"○","—"))</f>
        <v/>
      </c>
      <c r="J94" s="52" t="n"/>
      <c r="K94" s="51" t="n"/>
      <c r="L94" s="51" t="n"/>
      <c r="M94" s="51" t="n"/>
      <c r="N9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4" s="61" t="str">
        <f>IFERROR(VALUE(MID(tblHistory[[#This Row],[履歴ID]],2,20)),"")</f>
        <v/>
      </c>
      <c r="P94" s="61" t="str">
        <f>tblHistory[[#This Row],[案件ID]]&amp;"|"&amp;tblHistory[[#This Row],[ID番号]]</f>
        <v>|</v>
      </c>
      <c r="Q94" s="61">
        <f>IF(tblHistory[[#This Row],[結果]]="",0,IFERROR(IF(INDEX(lst_ResultReal,MATCH(tblHistory[[#This Row],[結果]],lst_Result,0))=1,1,0),0))</f>
        <v>0</v>
      </c>
      <c r="R9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5">
      <c r="A95" s="49" t="n"/>
      <c r="B95" s="49" t="n"/>
      <c r="C95" s="50" t="str">
        <f>IF(tblHistory[[#This Row],[案件ID]]="","",IFERROR(INDEX(tblCases[顧客名],MATCH(tblHistory[[#This Row],[案件ID]],tblCases[案件ID],0))&amp;"","（未登録の案件ID）"))</f>
        <v/>
      </c>
      <c r="D95" s="50" t="str">
        <f>IF(tblHistory[[#This Row],[案件ID]]="","",IFERROR(INDEX(tblCases[案件名],MATCH(tblHistory[[#This Row],[案件ID]],tblCases[案件ID],0))&amp;"",""))</f>
        <v/>
      </c>
      <c r="E95" s="64" t="n"/>
      <c r="F95" s="52" t="n"/>
      <c r="G95" s="52" t="n"/>
      <c r="H95" s="52" t="n"/>
      <c r="I95" s="55" t="str">
        <f>IF(tblHistory[[#This Row],[結果]]="","",IF(tblHistory[[#This Row],[実接点]]=1,"○","—"))</f>
        <v/>
      </c>
      <c r="J95" s="52" t="n"/>
      <c r="K95" s="51" t="n"/>
      <c r="L95" s="51" t="n"/>
      <c r="M95" s="51" t="n"/>
      <c r="N95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5" s="61" t="str">
        <f>IFERROR(VALUE(MID(tblHistory[[#This Row],[履歴ID]],2,20)),"")</f>
        <v/>
      </c>
      <c r="P95" s="61" t="str">
        <f>tblHistory[[#This Row],[案件ID]]&amp;"|"&amp;tblHistory[[#This Row],[ID番号]]</f>
        <v>|</v>
      </c>
      <c r="Q95" s="61">
        <f>IF(tblHistory[[#This Row],[結果]]="",0,IFERROR(IF(INDEX(lst_ResultReal,MATCH(tblHistory[[#This Row],[結果]],lst_Result,0))=1,1,0),0))</f>
        <v>0</v>
      </c>
      <c r="R95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6">
      <c r="A96" s="49" t="n"/>
      <c r="B96" s="49" t="n"/>
      <c r="C96" s="50" t="str">
        <f>IF(tblHistory[[#This Row],[案件ID]]="","",IFERROR(INDEX(tblCases[顧客名],MATCH(tblHistory[[#This Row],[案件ID]],tblCases[案件ID],0))&amp;"","（未登録の案件ID）"))</f>
        <v/>
      </c>
      <c r="D96" s="50" t="str">
        <f>IF(tblHistory[[#This Row],[案件ID]]="","",IFERROR(INDEX(tblCases[案件名],MATCH(tblHistory[[#This Row],[案件ID]],tblCases[案件ID],0))&amp;"",""))</f>
        <v/>
      </c>
      <c r="E96" s="64" t="n"/>
      <c r="F96" s="52" t="n"/>
      <c r="G96" s="52" t="n"/>
      <c r="H96" s="52" t="n"/>
      <c r="I96" s="55" t="str">
        <f>IF(tblHistory[[#This Row],[結果]]="","",IF(tblHistory[[#This Row],[実接点]]=1,"○","—"))</f>
        <v/>
      </c>
      <c r="J96" s="52" t="n"/>
      <c r="K96" s="51" t="n"/>
      <c r="L96" s="51" t="n"/>
      <c r="M96" s="51" t="n"/>
      <c r="N96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6" s="61" t="str">
        <f>IFERROR(VALUE(MID(tblHistory[[#This Row],[履歴ID]],2,20)),"")</f>
        <v/>
      </c>
      <c r="P96" s="61" t="str">
        <f>tblHistory[[#This Row],[案件ID]]&amp;"|"&amp;tblHistory[[#This Row],[ID番号]]</f>
        <v>|</v>
      </c>
      <c r="Q96" s="61">
        <f>IF(tblHistory[[#This Row],[結果]]="",0,IFERROR(IF(INDEX(lst_ResultReal,MATCH(tblHistory[[#This Row],[結果]],lst_Result,0))=1,1,0),0))</f>
        <v>0</v>
      </c>
      <c r="R96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7">
      <c r="A97" s="49" t="n"/>
      <c r="B97" s="49" t="n"/>
      <c r="C97" s="50" t="str">
        <f>IF(tblHistory[[#This Row],[案件ID]]="","",IFERROR(INDEX(tblCases[顧客名],MATCH(tblHistory[[#This Row],[案件ID]],tblCases[案件ID],0))&amp;"","（未登録の案件ID）"))</f>
        <v/>
      </c>
      <c r="D97" s="50" t="str">
        <f>IF(tblHistory[[#This Row],[案件ID]]="","",IFERROR(INDEX(tblCases[案件名],MATCH(tblHistory[[#This Row],[案件ID]],tblCases[案件ID],0))&amp;"",""))</f>
        <v/>
      </c>
      <c r="E97" s="64" t="n"/>
      <c r="F97" s="52" t="n"/>
      <c r="G97" s="52" t="n"/>
      <c r="H97" s="52" t="n"/>
      <c r="I97" s="55" t="str">
        <f>IF(tblHistory[[#This Row],[結果]]="","",IF(tblHistory[[#This Row],[実接点]]=1,"○","—"))</f>
        <v/>
      </c>
      <c r="J97" s="52" t="n"/>
      <c r="K97" s="51" t="n"/>
      <c r="L97" s="51" t="n"/>
      <c r="M97" s="51" t="n"/>
      <c r="N97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7" s="61" t="str">
        <f>IFERROR(VALUE(MID(tblHistory[[#This Row],[履歴ID]],2,20)),"")</f>
        <v/>
      </c>
      <c r="P97" s="61" t="str">
        <f>tblHistory[[#This Row],[案件ID]]&amp;"|"&amp;tblHistory[[#This Row],[ID番号]]</f>
        <v>|</v>
      </c>
      <c r="Q97" s="61">
        <f>IF(tblHistory[[#This Row],[結果]]="",0,IFERROR(IF(INDEX(lst_ResultReal,MATCH(tblHistory[[#This Row],[結果]],lst_Result,0))=1,1,0),0))</f>
        <v>0</v>
      </c>
      <c r="R97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8">
      <c r="A98" s="49" t="n"/>
      <c r="B98" s="49" t="n"/>
      <c r="C98" s="50" t="str">
        <f>IF(tblHistory[[#This Row],[案件ID]]="","",IFERROR(INDEX(tblCases[顧客名],MATCH(tblHistory[[#This Row],[案件ID]],tblCases[案件ID],0))&amp;"","（未登録の案件ID）"))</f>
        <v/>
      </c>
      <c r="D98" s="50" t="str">
        <f>IF(tblHistory[[#This Row],[案件ID]]="","",IFERROR(INDEX(tblCases[案件名],MATCH(tblHistory[[#This Row],[案件ID]],tblCases[案件ID],0))&amp;"",""))</f>
        <v/>
      </c>
      <c r="E98" s="64" t="n"/>
      <c r="F98" s="52" t="n"/>
      <c r="G98" s="52" t="n"/>
      <c r="H98" s="52" t="n"/>
      <c r="I98" s="55" t="str">
        <f>IF(tblHistory[[#This Row],[結果]]="","",IF(tblHistory[[#This Row],[実接点]]=1,"○","—"))</f>
        <v/>
      </c>
      <c r="J98" s="52" t="n"/>
      <c r="K98" s="51" t="n"/>
      <c r="L98" s="51" t="n"/>
      <c r="M98" s="51" t="n"/>
      <c r="N98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8" s="61" t="str">
        <f>IFERROR(VALUE(MID(tblHistory[[#This Row],[履歴ID]],2,20)),"")</f>
        <v/>
      </c>
      <c r="P98" s="61" t="str">
        <f>tblHistory[[#This Row],[案件ID]]&amp;"|"&amp;tblHistory[[#This Row],[ID番号]]</f>
        <v>|</v>
      </c>
      <c r="Q98" s="61">
        <f>IF(tblHistory[[#This Row],[結果]]="",0,IFERROR(IF(INDEX(lst_ResultReal,MATCH(tblHistory[[#This Row],[結果]],lst_Result,0))=1,1,0),0))</f>
        <v>0</v>
      </c>
      <c r="R98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99">
      <c r="A99" s="49" t="n"/>
      <c r="B99" s="49" t="n"/>
      <c r="C99" s="50" t="str">
        <f>IF(tblHistory[[#This Row],[案件ID]]="","",IFERROR(INDEX(tblCases[顧客名],MATCH(tblHistory[[#This Row],[案件ID]],tblCases[案件ID],0))&amp;"","（未登録の案件ID）"))</f>
        <v/>
      </c>
      <c r="D99" s="50" t="str">
        <f>IF(tblHistory[[#This Row],[案件ID]]="","",IFERROR(INDEX(tblCases[案件名],MATCH(tblHistory[[#This Row],[案件ID]],tblCases[案件ID],0))&amp;"",""))</f>
        <v/>
      </c>
      <c r="E99" s="64" t="n"/>
      <c r="F99" s="52" t="n"/>
      <c r="G99" s="52" t="n"/>
      <c r="H99" s="52" t="n"/>
      <c r="I99" s="55" t="str">
        <f>IF(tblHistory[[#This Row],[結果]]="","",IF(tblHistory[[#This Row],[実接点]]=1,"○","—"))</f>
        <v/>
      </c>
      <c r="J99" s="52" t="n"/>
      <c r="K99" s="51" t="n"/>
      <c r="L99" s="51" t="n"/>
      <c r="M99" s="51" t="n"/>
      <c r="N99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99" s="61" t="str">
        <f>IFERROR(VALUE(MID(tblHistory[[#This Row],[履歴ID]],2,20)),"")</f>
        <v/>
      </c>
      <c r="P99" s="61" t="str">
        <f>tblHistory[[#This Row],[案件ID]]&amp;"|"&amp;tblHistory[[#This Row],[ID番号]]</f>
        <v>|</v>
      </c>
      <c r="Q99" s="61">
        <f>IF(tblHistory[[#This Row],[結果]]="",0,IFERROR(IF(INDEX(lst_ResultReal,MATCH(tblHistory[[#This Row],[結果]],lst_Result,0))=1,1,0),0))</f>
        <v>0</v>
      </c>
      <c r="R99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0">
      <c r="A100" s="49" t="n"/>
      <c r="B100" s="49" t="n"/>
      <c r="C100" s="50" t="str">
        <f>IF(tblHistory[[#This Row],[案件ID]]="","",IFERROR(INDEX(tblCases[顧客名],MATCH(tblHistory[[#This Row],[案件ID]],tblCases[案件ID],0))&amp;"","（未登録の案件ID）"))</f>
        <v/>
      </c>
      <c r="D100" s="50" t="str">
        <f>IF(tblHistory[[#This Row],[案件ID]]="","",IFERROR(INDEX(tblCases[案件名],MATCH(tblHistory[[#This Row],[案件ID]],tblCases[案件ID],0))&amp;"",""))</f>
        <v/>
      </c>
      <c r="E100" s="64" t="n"/>
      <c r="F100" s="52" t="n"/>
      <c r="G100" s="52" t="n"/>
      <c r="H100" s="52" t="n"/>
      <c r="I100" s="55" t="str">
        <f>IF(tblHistory[[#This Row],[結果]]="","",IF(tblHistory[[#This Row],[実接点]]=1,"○","—"))</f>
        <v/>
      </c>
      <c r="J100" s="52" t="n"/>
      <c r="K100" s="51" t="n"/>
      <c r="L100" s="51" t="n"/>
      <c r="M100" s="51" t="n"/>
      <c r="N100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0" s="61" t="str">
        <f>IFERROR(VALUE(MID(tblHistory[[#This Row],[履歴ID]],2,20)),"")</f>
        <v/>
      </c>
      <c r="P100" s="61" t="str">
        <f>tblHistory[[#This Row],[案件ID]]&amp;"|"&amp;tblHistory[[#This Row],[ID番号]]</f>
        <v>|</v>
      </c>
      <c r="Q100" s="61">
        <f>IF(tblHistory[[#This Row],[結果]]="",0,IFERROR(IF(INDEX(lst_ResultReal,MATCH(tblHistory[[#This Row],[結果]],lst_Result,0))=1,1,0),0))</f>
        <v>0</v>
      </c>
      <c r="R100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1">
      <c r="A101" s="49" t="n"/>
      <c r="B101" s="49" t="n"/>
      <c r="C101" s="50" t="str">
        <f>IF(tblHistory[[#This Row],[案件ID]]="","",IFERROR(INDEX(tblCases[顧客名],MATCH(tblHistory[[#This Row],[案件ID]],tblCases[案件ID],0))&amp;"","（未登録の案件ID）"))</f>
        <v/>
      </c>
      <c r="D101" s="50" t="str">
        <f>IF(tblHistory[[#This Row],[案件ID]]="","",IFERROR(INDEX(tblCases[案件名],MATCH(tblHistory[[#This Row],[案件ID]],tblCases[案件ID],0))&amp;"",""))</f>
        <v/>
      </c>
      <c r="E101" s="64" t="n"/>
      <c r="F101" s="52" t="n"/>
      <c r="G101" s="52" t="n"/>
      <c r="H101" s="52" t="n"/>
      <c r="I101" s="55" t="str">
        <f>IF(tblHistory[[#This Row],[結果]]="","",IF(tblHistory[[#This Row],[実接点]]=1,"○","—"))</f>
        <v/>
      </c>
      <c r="J101" s="52" t="n"/>
      <c r="K101" s="51" t="n"/>
      <c r="L101" s="51" t="n"/>
      <c r="M101" s="51" t="n"/>
      <c r="N101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1" s="61" t="str">
        <f>IFERROR(VALUE(MID(tblHistory[[#This Row],[履歴ID]],2,20)),"")</f>
        <v/>
      </c>
      <c r="P101" s="61" t="str">
        <f>tblHistory[[#This Row],[案件ID]]&amp;"|"&amp;tblHistory[[#This Row],[ID番号]]</f>
        <v>|</v>
      </c>
      <c r="Q101" s="61">
        <f>IF(tblHistory[[#This Row],[結果]]="",0,IFERROR(IF(INDEX(lst_ResultReal,MATCH(tblHistory[[#This Row],[結果]],lst_Result,0))=1,1,0),0))</f>
        <v>0</v>
      </c>
      <c r="R101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2">
      <c r="A102" s="49" t="n"/>
      <c r="B102" s="49" t="n"/>
      <c r="C102" s="50" t="str">
        <f>IF(tblHistory[[#This Row],[案件ID]]="","",IFERROR(INDEX(tblCases[顧客名],MATCH(tblHistory[[#This Row],[案件ID]],tblCases[案件ID],0))&amp;"","（未登録の案件ID）"))</f>
        <v/>
      </c>
      <c r="D102" s="50" t="str">
        <f>IF(tblHistory[[#This Row],[案件ID]]="","",IFERROR(INDEX(tblCases[案件名],MATCH(tblHistory[[#This Row],[案件ID]],tblCases[案件ID],0))&amp;"",""))</f>
        <v/>
      </c>
      <c r="E102" s="64" t="n"/>
      <c r="F102" s="52" t="n"/>
      <c r="G102" s="52" t="n"/>
      <c r="H102" s="52" t="n"/>
      <c r="I102" s="55" t="str">
        <f>IF(tblHistory[[#This Row],[結果]]="","",IF(tblHistory[[#This Row],[実接点]]=1,"○","—"))</f>
        <v/>
      </c>
      <c r="J102" s="52" t="n"/>
      <c r="K102" s="51" t="n"/>
      <c r="L102" s="51" t="n"/>
      <c r="M102" s="51" t="n"/>
      <c r="N102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2" s="61" t="str">
        <f>IFERROR(VALUE(MID(tblHistory[[#This Row],[履歴ID]],2,20)),"")</f>
        <v/>
      </c>
      <c r="P102" s="61" t="str">
        <f>tblHistory[[#This Row],[案件ID]]&amp;"|"&amp;tblHistory[[#This Row],[ID番号]]</f>
        <v>|</v>
      </c>
      <c r="Q102" s="61">
        <f>IF(tblHistory[[#This Row],[結果]]="",0,IFERROR(IF(INDEX(lst_ResultReal,MATCH(tblHistory[[#This Row],[結果]],lst_Result,0))=1,1,0),0))</f>
        <v>0</v>
      </c>
      <c r="R102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3">
      <c r="A103" s="49" t="n"/>
      <c r="B103" s="49" t="n"/>
      <c r="C103" s="50" t="str">
        <f>IF(tblHistory[[#This Row],[案件ID]]="","",IFERROR(INDEX(tblCases[顧客名],MATCH(tblHistory[[#This Row],[案件ID]],tblCases[案件ID],0))&amp;"","（未登録の案件ID）"))</f>
        <v/>
      </c>
      <c r="D103" s="50" t="str">
        <f>IF(tblHistory[[#This Row],[案件ID]]="","",IFERROR(INDEX(tblCases[案件名],MATCH(tblHistory[[#This Row],[案件ID]],tblCases[案件ID],0))&amp;"",""))</f>
        <v/>
      </c>
      <c r="E103" s="64" t="n"/>
      <c r="F103" s="52" t="n"/>
      <c r="G103" s="52" t="n"/>
      <c r="H103" s="52" t="n"/>
      <c r="I103" s="55" t="str">
        <f>IF(tblHistory[[#This Row],[結果]]="","",IF(tblHistory[[#This Row],[実接点]]=1,"○","—"))</f>
        <v/>
      </c>
      <c r="J103" s="52" t="n"/>
      <c r="K103" s="51" t="n"/>
      <c r="L103" s="51" t="n"/>
      <c r="M103" s="51" t="n"/>
      <c r="N103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3" s="61" t="str">
        <f>IFERROR(VALUE(MID(tblHistory[[#This Row],[履歴ID]],2,20)),"")</f>
        <v/>
      </c>
      <c r="P103" s="61" t="str">
        <f>tblHistory[[#This Row],[案件ID]]&amp;"|"&amp;tblHistory[[#This Row],[ID番号]]</f>
        <v>|</v>
      </c>
      <c r="Q103" s="61">
        <f>IF(tblHistory[[#This Row],[結果]]="",0,IFERROR(IF(INDEX(lst_ResultReal,MATCH(tblHistory[[#This Row],[結果]],lst_Result,0))=1,1,0),0))</f>
        <v>0</v>
      </c>
      <c r="R103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  <row r="104">
      <c r="A104" s="49" t="n"/>
      <c r="B104" s="49" t="n"/>
      <c r="C104" s="50" t="str">
        <f>IF(tblHistory[[#This Row],[案件ID]]="","",IFERROR(INDEX(tblCases[顧客名],MATCH(tblHistory[[#This Row],[案件ID]],tblCases[案件ID],0))&amp;"","（未登録の案件ID）"))</f>
        <v/>
      </c>
      <c r="D104" s="50" t="str">
        <f>IF(tblHistory[[#This Row],[案件ID]]="","",IFERROR(INDEX(tblCases[案件名],MATCH(tblHistory[[#This Row],[案件ID]],tblCases[案件ID],0))&amp;"",""))</f>
        <v/>
      </c>
      <c r="E104" s="64" t="n"/>
      <c r="F104" s="52" t="n"/>
      <c r="G104" s="52" t="n"/>
      <c r="H104" s="52" t="n"/>
      <c r="I104" s="55" t="str">
        <f>IF(tblHistory[[#This Row],[結果]]="","",IF(tblHistory[[#This Row],[実接点]]=1,"○","—"))</f>
        <v/>
      </c>
      <c r="J104" s="52" t="n"/>
      <c r="K104" s="51" t="n"/>
      <c r="L104" s="51" t="n"/>
      <c r="M104" s="51" t="n"/>
      <c r="N104" s="50" t="str">
        <f>IF(AND(tblHistory[[#This Row],[履歴ID]]="",tblHistory[[#This Row],[案件ID]]="",tblHistory[[#This Row],[実施日時]]="",tblHistory[[#This Row],[内容]]=""),"",_xlfn.TEXTJOIN("／",TRUE,IF(tblHistory[[#This Row],[履歴ID]]="","履歴IDが空欄",IF(tblHistory[[#This Row],[ID番号]]="","履歴IDの形式（英字1字＋数字）","")),IF(AND(tblHistory[[#This Row],[履歴ID]]&lt;&gt;"",COUNTIF(tblHistory[履歴ID],tblHistory[[#This Row],[履歴ID]])&gt;1),"履歴IDが重複",""),IF(tblHistory[[#This Row],[案件ID]]="","案件IDが空欄",IF(COUNTIF(tblCases[案件ID],tblHistory[[#This Row],[案件ID]])=0,"未登録の案件ID","")),IF(tblHistory[[#This Row],[実施日時]]="","実施日時が空欄",IF(NOT(ISNUMBER(tblHistory[[#This Row],[実施日時]])),"実施日時が日時ではない",IF(tblHistory[[#This Row],[実施日時]]&gt;=RefDate+1,"基準日より後の日時（集計外）",""))),IF(tblHistory[[#This Row],[チャネル]]="","チャネルが空欄",""),IF(tblHistory[[#This Row],[結果]]="","結果が空欄",IF(COUNTIF(lst_Result,tblHistory[[#This Row],[結果]])=0,"結果が候補外",""))))</f>
        <v/>
      </c>
      <c r="O104" s="61" t="str">
        <f>IFERROR(VALUE(MID(tblHistory[[#This Row],[履歴ID]],2,20)),"")</f>
        <v/>
      </c>
      <c r="P104" s="61" t="str">
        <f>tblHistory[[#This Row],[案件ID]]&amp;"|"&amp;tblHistory[[#This Row],[ID番号]]</f>
        <v>|</v>
      </c>
      <c r="Q104" s="61">
        <f>IF(tblHistory[[#This Row],[結果]]="",0,IFERROR(IF(INDEX(lst_ResultReal,MATCH(tblHistory[[#This Row],[結果]],lst_Result,0))=1,1,0),0))</f>
        <v>0</v>
      </c>
      <c r="R104" s="61">
        <f>IF(AND(tblHistory[[#This Row],[案件ID]]&lt;&gt;"",ISNUMBER(tblHistory[[#This Row],[実施日時]]),COUNTIF(tblCases[案件ID],tblHistory[[#This Row],[案件ID]])&gt;0),IF(tblHistory[[#This Row],[実施日時]]&lt;RefDate+1,1,0),0)</f>
        <v>0</v>
      </c>
    </row>
  </sheetData>
  <conditionalFormatting sqref="N6:N2000">
    <cfRule type="expression" priority="1" dxfId="2" stopIfTrue="1">
      <formula>$N6&lt;&gt;""</formula>
    </cfRule>
  </conditionalFormatting>
  <conditionalFormatting sqref="I6:I2000">
    <cfRule type="expression" priority="2" dxfId="4" stopIfTrue="1">
      <formula>$I6="○"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=dv_CaseID</formula1>
    </dataValidation>
    <dataValidation sqref="E6:E2000" showDropDown="0" showInputMessage="1" showErrorMessage="1" allowBlank="1" errorTitle="日付を入力" error="日付（例 2026/10/05）または日時（例 2026/10/05 14:30）を入力してください。" promptTitle="入力方法" prompt="実際に連絡・面談した日時。例 2026/10/05 14:30（Ctrl+; で今日、Ctrl+Shift+; で現在時刻）" type="decimal" errorStyle="stop" operator="between">
      <formula1>36526</formula1>
      <formula2>73051</formula2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=dv_Channel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=dv_Direction</formula1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=dv_Result</formula1>
    </dataValidation>
    <dataValidation sqref="J6:J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C10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20" customWidth="1" min="4" max="4"/>
    <col width="12" customWidth="1" min="5" max="5"/>
    <col width="32" customWidth="1" min="6" max="6"/>
    <col width="12" customWidth="1" min="7" max="7"/>
    <col width="8" customWidth="1" min="8" max="8"/>
    <col width="8" customWidth="1" min="9" max="9"/>
    <col width="11" customWidth="1" min="10" max="10"/>
    <col width="11" customWidth="1" min="11" max="11"/>
    <col width="24" customWidth="1" min="12" max="12"/>
    <col width="24" customWidth="1" min="13" max="13"/>
    <col width="7" customWidth="1" min="14" max="14"/>
    <col width="11" customWidth="1" min="15" max="15"/>
    <col width="6" customWidth="1" min="16" max="16"/>
    <col width="6" customWidth="1" min="17" max="17"/>
    <col width="7" customWidth="1" min="18" max="18"/>
    <col width="6" customWidth="1" min="19" max="19"/>
    <col width="6" customWidth="1" min="20" max="20"/>
    <col width="6" customWidth="1" min="21" max="21"/>
    <col width="6" customWidth="1" min="22" max="22"/>
    <col width="11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  <col width="6" customWidth="1" min="29" max="29"/>
  </cols>
  <sheetData>
    <row r="1" ht="30" customHeight="1">
      <c r="A1" s="1" t="inlineStr">
        <is>
          <t>対応タスク（1行＝これから行う1つの対応）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6" t="inlineStr">
        <is>
          <t>← ホームへ</t>
        </is>
      </c>
    </row>
    <row r="2" ht="20" customHeight="1">
      <c r="A2" s="4" t="inlineStr">
        <is>
          <t>期限・担当・状態の正本です。済んだら状態を「完了」にして完了日を入れます（履歴の記入とは別の作業）。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次のタスクID候補</t>
        </is>
      </c>
      <c r="I3" s="44" t="str">
        <f>"T"&amp;TEXT(MAX(0,MAX(tblTasks[ID番号]))+1,"00000")</f>
        <v>T00001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タスクID</t>
        </is>
      </c>
      <c r="B5" s="46" t="inlineStr">
        <is>
          <t>案件ID</t>
        </is>
      </c>
      <c r="C5" s="47" t="inlineStr">
        <is>
          <t>顧客名</t>
        </is>
      </c>
      <c r="D5" s="47" t="inlineStr">
        <is>
          <t>案件名</t>
        </is>
      </c>
      <c r="E5" s="46" t="inlineStr">
        <is>
          <t>区分</t>
        </is>
      </c>
      <c r="F5" s="46" t="inlineStr">
        <is>
          <t>内容</t>
        </is>
      </c>
      <c r="G5" s="46" t="inlineStr">
        <is>
          <t>期限日</t>
        </is>
      </c>
      <c r="H5" s="46" t="inlineStr">
        <is>
          <t>担当者</t>
        </is>
      </c>
      <c r="I5" s="46" t="inlineStr">
        <is>
          <t>状態</t>
        </is>
      </c>
      <c r="J5" s="47" t="inlineStr">
        <is>
          <t>表示区分</t>
        </is>
      </c>
      <c r="K5" s="46" t="inlineStr">
        <is>
          <t>完了日</t>
        </is>
      </c>
      <c r="L5" s="46" t="inlineStr">
        <is>
          <t>補足</t>
        </is>
      </c>
      <c r="M5" s="47" t="inlineStr">
        <is>
          <t>入力チェック</t>
        </is>
      </c>
      <c r="N5" s="48" t="inlineStr">
        <is>
          <t>ID番号</t>
        </is>
      </c>
      <c r="O5" s="48" t="inlineStr">
        <is>
          <t>照合キー</t>
        </is>
      </c>
      <c r="P5" s="48" t="inlineStr">
        <is>
          <t>案件行</t>
        </is>
      </c>
      <c r="Q5" s="48" t="inlineStr">
        <is>
          <t>連絡停止</t>
        </is>
      </c>
      <c r="R5" s="48" t="inlineStr">
        <is>
          <t>案件状態区分</t>
        </is>
      </c>
      <c r="S5" s="48" t="inlineStr">
        <is>
          <t>未完了</t>
        </is>
      </c>
      <c r="T5" s="48" t="inlineStr">
        <is>
          <t>重大エラー</t>
        </is>
      </c>
      <c r="U5" s="48" t="inlineStr">
        <is>
          <t>次回候補</t>
        </is>
      </c>
      <c r="V5" s="48" t="inlineStr">
        <is>
          <t>担当一致</t>
        </is>
      </c>
      <c r="W5" s="48" t="inlineStr">
        <is>
          <t>並びキー</t>
        </is>
      </c>
      <c r="X5" s="48" t="inlineStr">
        <is>
          <t>一覧1対象</t>
        </is>
      </c>
      <c r="Y5" s="48" t="inlineStr">
        <is>
          <t>一覧1順位</t>
        </is>
      </c>
      <c r="Z5" s="48" t="inlineStr">
        <is>
          <t>一覧3対象</t>
        </is>
      </c>
      <c r="AA5" s="48" t="inlineStr">
        <is>
          <t>一覧3順位</t>
        </is>
      </c>
      <c r="AB5" s="48" t="inlineStr">
        <is>
          <t>一覧4対象</t>
        </is>
      </c>
      <c r="AC5" s="48" t="inlineStr">
        <is>
          <t>一覧4順位</t>
        </is>
      </c>
    </row>
    <row r="6">
      <c r="A6" s="49" t="n"/>
      <c r="B6" s="49" t="n"/>
      <c r="C6" s="50" t="str">
        <f>IF(tblTasks[[#This Row],[案件ID]]="","",IF(tblTasks[[#This Row],[案件行]]="","（未登録の案件ID）",INDEX(tblCases[顧客名],tblTasks[[#This Row],[案件行]])&amp;""))</f>
        <v/>
      </c>
      <c r="D6" s="50" t="str">
        <f>IF(tblTasks[[#This Row],[案件行]]="","",INDEX(tblCases[案件名],tblTasks[[#This Row],[案件行]])&amp;"")</f>
        <v/>
      </c>
      <c r="E6" s="52" t="n"/>
      <c r="F6" s="51" t="n"/>
      <c r="G6" s="65" t="n"/>
      <c r="H6" s="52" t="n"/>
      <c r="I6" s="52" t="n"/>
      <c r="J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" s="59" t="n"/>
      <c r="L6" s="51" t="n"/>
      <c r="M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" s="61" t="str">
        <f>IFERROR(VALUE(MID(tblTasks[[#This Row],[タスクID]],2,20)),"")</f>
        <v/>
      </c>
      <c r="O6" s="61" t="str">
        <f>tblTasks[[#This Row],[案件ID]]&amp;"|"&amp;tblTasks[[#This Row],[ID番号]]</f>
        <v>|</v>
      </c>
      <c r="P6" s="61" t="str">
        <f>IF(tblTasks[[#This Row],[案件ID]]="","",IFERROR(MATCH(tblTasks[[#This Row],[案件ID]],tblCases[案件ID],0),""))</f>
        <v/>
      </c>
      <c r="Q6" s="61">
        <f>IF(tblTasks[[#This Row],[案件行]]="",0,INDEX(tblCases[連絡停止],tblTasks[[#This Row],[案件行]]))</f>
        <v>0</v>
      </c>
      <c r="R6" s="61" t="str">
        <f>IF(tblTasks[[#This Row],[案件行]]="","",INDEX(tblCases[状態区分],tblTasks[[#This Row],[案件行]])&amp;"")</f>
        <v/>
      </c>
      <c r="S6" s="61">
        <f>IF(AND(tblTasks[[#This Row],[タスクID]]&lt;&gt;"",OR(tblTasks[[#This Row],[状態]]="未着手",tblTasks[[#This Row],[状態]]="対応中")),1,0)</f>
        <v>0</v>
      </c>
      <c r="T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" s="61">
        <f>IF(OR(HomeStaff="",HomeStaff="全員",HomeStaff=tblTasks[[#This Row],[担当者]]),1,0)</f>
        <v>1</v>
      </c>
      <c r="W6" s="61">
        <f>IF(ISNUMBER(tblTasks[[#This Row],[期限日]]),INT(tblTasks[[#This Row],[期限日]]),99999)*100000+N(tblTasks[[#This Row],[ID番号]])</f>
        <v>9999900000</v>
      </c>
      <c r="X6" s="61">
        <f>IF(AND(OR(tblTasks[[#This Row],[表示区分]]="期限超過",tblTasks[[#This Row],[表示区分]]="本日"),tblTasks[[#This Row],[担当一致]]=1),1,0)</f>
        <v>0</v>
      </c>
      <c r="Y6" s="61" t="str">
        <f>IF(tblTasks[[#This Row],[一覧1対象]]=1,COUNTIFS(tblTasks[一覧1対象],1,tblTasks[並びキー],"&lt;"&amp;tblTasks[[#This Row],[並びキー]])+1,"")</f>
        <v/>
      </c>
      <c r="Z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" s="61" t="str">
        <f>IF(tblTasks[[#This Row],[一覧3対象]]=1,COUNTIFS(tblTasks[一覧3対象],1,tblTasks[並びキー],"&lt;"&amp;tblTasks[[#This Row],[並びキー]])+1,"")</f>
        <v/>
      </c>
      <c r="AB6" s="61">
        <f>IF(AND(tblTasks[[#This Row],[表示区分]]="今後",INT(N(tblTasks[[#This Row],[期限日]]))&lt;=RefDate+UpcomingDays,tblTasks[[#This Row],[担当一致]]=1),1,0)</f>
        <v>0</v>
      </c>
      <c r="AC6" s="61" t="str">
        <f>IF(tblTasks[[#This Row],[一覧4対象]]=1,COUNTIFS(tblTasks[一覧4対象],1,tblTasks[並びキー],"&lt;"&amp;tblTasks[[#This Row],[並びキー]])+1,"")</f>
        <v/>
      </c>
    </row>
    <row r="7">
      <c r="A7" s="49" t="n"/>
      <c r="B7" s="49" t="n"/>
      <c r="C7" s="50" t="str">
        <f>IF(tblTasks[[#This Row],[案件ID]]="","",IF(tblTasks[[#This Row],[案件行]]="","（未登録の案件ID）",INDEX(tblCases[顧客名],tblTasks[[#This Row],[案件行]])&amp;""))</f>
        <v/>
      </c>
      <c r="D7" s="50" t="str">
        <f>IF(tblTasks[[#This Row],[案件行]]="","",INDEX(tblCases[案件名],tblTasks[[#This Row],[案件行]])&amp;"")</f>
        <v/>
      </c>
      <c r="E7" s="52" t="n"/>
      <c r="F7" s="51" t="n"/>
      <c r="G7" s="65" t="n"/>
      <c r="H7" s="52" t="n"/>
      <c r="I7" s="52" t="n"/>
      <c r="J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" s="59" t="n"/>
      <c r="L7" s="51" t="n"/>
      <c r="M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" s="61" t="str">
        <f>IFERROR(VALUE(MID(tblTasks[[#This Row],[タスクID]],2,20)),"")</f>
        <v/>
      </c>
      <c r="O7" s="61" t="str">
        <f>tblTasks[[#This Row],[案件ID]]&amp;"|"&amp;tblTasks[[#This Row],[ID番号]]</f>
        <v>|</v>
      </c>
      <c r="P7" s="61" t="str">
        <f>IF(tblTasks[[#This Row],[案件ID]]="","",IFERROR(MATCH(tblTasks[[#This Row],[案件ID]],tblCases[案件ID],0),""))</f>
        <v/>
      </c>
      <c r="Q7" s="61">
        <f>IF(tblTasks[[#This Row],[案件行]]="",0,INDEX(tblCases[連絡停止],tblTasks[[#This Row],[案件行]]))</f>
        <v>0</v>
      </c>
      <c r="R7" s="61" t="str">
        <f>IF(tblTasks[[#This Row],[案件行]]="","",INDEX(tblCases[状態区分],tblTasks[[#This Row],[案件行]])&amp;"")</f>
        <v/>
      </c>
      <c r="S7" s="61">
        <f>IF(AND(tblTasks[[#This Row],[タスクID]]&lt;&gt;"",OR(tblTasks[[#This Row],[状態]]="未着手",tblTasks[[#This Row],[状態]]="対応中")),1,0)</f>
        <v>0</v>
      </c>
      <c r="T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" s="61">
        <f>IF(OR(HomeStaff="",HomeStaff="全員",HomeStaff=tblTasks[[#This Row],[担当者]]),1,0)</f>
        <v>1</v>
      </c>
      <c r="W7" s="61">
        <f>IF(ISNUMBER(tblTasks[[#This Row],[期限日]]),INT(tblTasks[[#This Row],[期限日]]),99999)*100000+N(tblTasks[[#This Row],[ID番号]])</f>
        <v>9999900000</v>
      </c>
      <c r="X7" s="61">
        <f>IF(AND(OR(tblTasks[[#This Row],[表示区分]]="期限超過",tblTasks[[#This Row],[表示区分]]="本日"),tblTasks[[#This Row],[担当一致]]=1),1,0)</f>
        <v>0</v>
      </c>
      <c r="Y7" s="61" t="str">
        <f>IF(tblTasks[[#This Row],[一覧1対象]]=1,COUNTIFS(tblTasks[一覧1対象],1,tblTasks[並びキー],"&lt;"&amp;tblTasks[[#This Row],[並びキー]])+1,"")</f>
        <v/>
      </c>
      <c r="Z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" s="61" t="str">
        <f>IF(tblTasks[[#This Row],[一覧3対象]]=1,COUNTIFS(tblTasks[一覧3対象],1,tblTasks[並びキー],"&lt;"&amp;tblTasks[[#This Row],[並びキー]])+1,"")</f>
        <v/>
      </c>
      <c r="AB7" s="61">
        <f>IF(AND(tblTasks[[#This Row],[表示区分]]="今後",INT(N(tblTasks[[#This Row],[期限日]]))&lt;=RefDate+UpcomingDays,tblTasks[[#This Row],[担当一致]]=1),1,0)</f>
        <v>0</v>
      </c>
      <c r="AC7" s="61" t="str">
        <f>IF(tblTasks[[#This Row],[一覧4対象]]=1,COUNTIFS(tblTasks[一覧4対象],1,tblTasks[並びキー],"&lt;"&amp;tblTasks[[#This Row],[並びキー]])+1,"")</f>
        <v/>
      </c>
    </row>
    <row r="8">
      <c r="A8" s="49" t="n"/>
      <c r="B8" s="49" t="n"/>
      <c r="C8" s="50" t="str">
        <f>IF(tblTasks[[#This Row],[案件ID]]="","",IF(tblTasks[[#This Row],[案件行]]="","（未登録の案件ID）",INDEX(tblCases[顧客名],tblTasks[[#This Row],[案件行]])&amp;""))</f>
        <v/>
      </c>
      <c r="D8" s="50" t="str">
        <f>IF(tblTasks[[#This Row],[案件行]]="","",INDEX(tblCases[案件名],tblTasks[[#This Row],[案件行]])&amp;"")</f>
        <v/>
      </c>
      <c r="E8" s="52" t="n"/>
      <c r="F8" s="51" t="n"/>
      <c r="G8" s="65" t="n"/>
      <c r="H8" s="52" t="n"/>
      <c r="I8" s="52" t="n"/>
      <c r="J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" s="59" t="n"/>
      <c r="L8" s="51" t="n"/>
      <c r="M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" s="61" t="str">
        <f>IFERROR(VALUE(MID(tblTasks[[#This Row],[タスクID]],2,20)),"")</f>
        <v/>
      </c>
      <c r="O8" s="61" t="str">
        <f>tblTasks[[#This Row],[案件ID]]&amp;"|"&amp;tblTasks[[#This Row],[ID番号]]</f>
        <v>|</v>
      </c>
      <c r="P8" s="61" t="str">
        <f>IF(tblTasks[[#This Row],[案件ID]]="","",IFERROR(MATCH(tblTasks[[#This Row],[案件ID]],tblCases[案件ID],0),""))</f>
        <v/>
      </c>
      <c r="Q8" s="61">
        <f>IF(tblTasks[[#This Row],[案件行]]="",0,INDEX(tblCases[連絡停止],tblTasks[[#This Row],[案件行]]))</f>
        <v>0</v>
      </c>
      <c r="R8" s="61" t="str">
        <f>IF(tblTasks[[#This Row],[案件行]]="","",INDEX(tblCases[状態区分],tblTasks[[#This Row],[案件行]])&amp;"")</f>
        <v/>
      </c>
      <c r="S8" s="61">
        <f>IF(AND(tblTasks[[#This Row],[タスクID]]&lt;&gt;"",OR(tblTasks[[#This Row],[状態]]="未着手",tblTasks[[#This Row],[状態]]="対応中")),1,0)</f>
        <v>0</v>
      </c>
      <c r="T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" s="61">
        <f>IF(OR(HomeStaff="",HomeStaff="全員",HomeStaff=tblTasks[[#This Row],[担当者]]),1,0)</f>
        <v>1</v>
      </c>
      <c r="W8" s="61">
        <f>IF(ISNUMBER(tblTasks[[#This Row],[期限日]]),INT(tblTasks[[#This Row],[期限日]]),99999)*100000+N(tblTasks[[#This Row],[ID番号]])</f>
        <v>9999900000</v>
      </c>
      <c r="X8" s="61">
        <f>IF(AND(OR(tblTasks[[#This Row],[表示区分]]="期限超過",tblTasks[[#This Row],[表示区分]]="本日"),tblTasks[[#This Row],[担当一致]]=1),1,0)</f>
        <v>0</v>
      </c>
      <c r="Y8" s="61" t="str">
        <f>IF(tblTasks[[#This Row],[一覧1対象]]=1,COUNTIFS(tblTasks[一覧1対象],1,tblTasks[並びキー],"&lt;"&amp;tblTasks[[#This Row],[並びキー]])+1,"")</f>
        <v/>
      </c>
      <c r="Z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" s="61" t="str">
        <f>IF(tblTasks[[#This Row],[一覧3対象]]=1,COUNTIFS(tblTasks[一覧3対象],1,tblTasks[並びキー],"&lt;"&amp;tblTasks[[#This Row],[並びキー]])+1,"")</f>
        <v/>
      </c>
      <c r="AB8" s="61">
        <f>IF(AND(tblTasks[[#This Row],[表示区分]]="今後",INT(N(tblTasks[[#This Row],[期限日]]))&lt;=RefDate+UpcomingDays,tblTasks[[#This Row],[担当一致]]=1),1,0)</f>
        <v>0</v>
      </c>
      <c r="AC8" s="61" t="str">
        <f>IF(tblTasks[[#This Row],[一覧4対象]]=1,COUNTIFS(tblTasks[一覧4対象],1,tblTasks[並びキー],"&lt;"&amp;tblTasks[[#This Row],[並びキー]])+1,"")</f>
        <v/>
      </c>
    </row>
    <row r="9">
      <c r="A9" s="49" t="n"/>
      <c r="B9" s="49" t="n"/>
      <c r="C9" s="50" t="str">
        <f>IF(tblTasks[[#This Row],[案件ID]]="","",IF(tblTasks[[#This Row],[案件行]]="","（未登録の案件ID）",INDEX(tblCases[顧客名],tblTasks[[#This Row],[案件行]])&amp;""))</f>
        <v/>
      </c>
      <c r="D9" s="50" t="str">
        <f>IF(tblTasks[[#This Row],[案件行]]="","",INDEX(tblCases[案件名],tblTasks[[#This Row],[案件行]])&amp;"")</f>
        <v/>
      </c>
      <c r="E9" s="52" t="n"/>
      <c r="F9" s="51" t="n"/>
      <c r="G9" s="65" t="n"/>
      <c r="H9" s="52" t="n"/>
      <c r="I9" s="52" t="n"/>
      <c r="J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" s="59" t="n"/>
      <c r="L9" s="51" t="n"/>
      <c r="M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" s="61" t="str">
        <f>IFERROR(VALUE(MID(tblTasks[[#This Row],[タスクID]],2,20)),"")</f>
        <v/>
      </c>
      <c r="O9" s="61" t="str">
        <f>tblTasks[[#This Row],[案件ID]]&amp;"|"&amp;tblTasks[[#This Row],[ID番号]]</f>
        <v>|</v>
      </c>
      <c r="P9" s="61" t="str">
        <f>IF(tblTasks[[#This Row],[案件ID]]="","",IFERROR(MATCH(tblTasks[[#This Row],[案件ID]],tblCases[案件ID],0),""))</f>
        <v/>
      </c>
      <c r="Q9" s="61">
        <f>IF(tblTasks[[#This Row],[案件行]]="",0,INDEX(tblCases[連絡停止],tblTasks[[#This Row],[案件行]]))</f>
        <v>0</v>
      </c>
      <c r="R9" s="61" t="str">
        <f>IF(tblTasks[[#This Row],[案件行]]="","",INDEX(tblCases[状態区分],tblTasks[[#This Row],[案件行]])&amp;"")</f>
        <v/>
      </c>
      <c r="S9" s="61">
        <f>IF(AND(tblTasks[[#This Row],[タスクID]]&lt;&gt;"",OR(tblTasks[[#This Row],[状態]]="未着手",tblTasks[[#This Row],[状態]]="対応中")),1,0)</f>
        <v>0</v>
      </c>
      <c r="T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" s="61">
        <f>IF(OR(HomeStaff="",HomeStaff="全員",HomeStaff=tblTasks[[#This Row],[担当者]]),1,0)</f>
        <v>1</v>
      </c>
      <c r="W9" s="61">
        <f>IF(ISNUMBER(tblTasks[[#This Row],[期限日]]),INT(tblTasks[[#This Row],[期限日]]),99999)*100000+N(tblTasks[[#This Row],[ID番号]])</f>
        <v>9999900000</v>
      </c>
      <c r="X9" s="61">
        <f>IF(AND(OR(tblTasks[[#This Row],[表示区分]]="期限超過",tblTasks[[#This Row],[表示区分]]="本日"),tblTasks[[#This Row],[担当一致]]=1),1,0)</f>
        <v>0</v>
      </c>
      <c r="Y9" s="61" t="str">
        <f>IF(tblTasks[[#This Row],[一覧1対象]]=1,COUNTIFS(tblTasks[一覧1対象],1,tblTasks[並びキー],"&lt;"&amp;tblTasks[[#This Row],[並びキー]])+1,"")</f>
        <v/>
      </c>
      <c r="Z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" s="61" t="str">
        <f>IF(tblTasks[[#This Row],[一覧3対象]]=1,COUNTIFS(tblTasks[一覧3対象],1,tblTasks[並びキー],"&lt;"&amp;tblTasks[[#This Row],[並びキー]])+1,"")</f>
        <v/>
      </c>
      <c r="AB9" s="61">
        <f>IF(AND(tblTasks[[#This Row],[表示区分]]="今後",INT(N(tblTasks[[#This Row],[期限日]]))&lt;=RefDate+UpcomingDays,tblTasks[[#This Row],[担当一致]]=1),1,0)</f>
        <v>0</v>
      </c>
      <c r="AC9" s="61" t="str">
        <f>IF(tblTasks[[#This Row],[一覧4対象]]=1,COUNTIFS(tblTasks[一覧4対象],1,tblTasks[並びキー],"&lt;"&amp;tblTasks[[#This Row],[並びキー]])+1,"")</f>
        <v/>
      </c>
    </row>
    <row r="10">
      <c r="A10" s="49" t="n"/>
      <c r="B10" s="49" t="n"/>
      <c r="C10" s="50" t="str">
        <f>IF(tblTasks[[#This Row],[案件ID]]="","",IF(tblTasks[[#This Row],[案件行]]="","（未登録の案件ID）",INDEX(tblCases[顧客名],tblTasks[[#This Row],[案件行]])&amp;""))</f>
        <v/>
      </c>
      <c r="D10" s="50" t="str">
        <f>IF(tblTasks[[#This Row],[案件行]]="","",INDEX(tblCases[案件名],tblTasks[[#This Row],[案件行]])&amp;"")</f>
        <v/>
      </c>
      <c r="E10" s="52" t="n"/>
      <c r="F10" s="51" t="n"/>
      <c r="G10" s="65" t="n"/>
      <c r="H10" s="52" t="n"/>
      <c r="I10" s="52" t="n"/>
      <c r="J1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" s="59" t="n"/>
      <c r="L10" s="51" t="n"/>
      <c r="M1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" s="61" t="str">
        <f>IFERROR(VALUE(MID(tblTasks[[#This Row],[タスクID]],2,20)),"")</f>
        <v/>
      </c>
      <c r="O10" s="61" t="str">
        <f>tblTasks[[#This Row],[案件ID]]&amp;"|"&amp;tblTasks[[#This Row],[ID番号]]</f>
        <v>|</v>
      </c>
      <c r="P10" s="61" t="str">
        <f>IF(tblTasks[[#This Row],[案件ID]]="","",IFERROR(MATCH(tblTasks[[#This Row],[案件ID]],tblCases[案件ID],0),""))</f>
        <v/>
      </c>
      <c r="Q10" s="61">
        <f>IF(tblTasks[[#This Row],[案件行]]="",0,INDEX(tblCases[連絡停止],tblTasks[[#This Row],[案件行]]))</f>
        <v>0</v>
      </c>
      <c r="R10" s="61" t="str">
        <f>IF(tblTasks[[#This Row],[案件行]]="","",INDEX(tblCases[状態区分],tblTasks[[#This Row],[案件行]])&amp;"")</f>
        <v/>
      </c>
      <c r="S10" s="61">
        <f>IF(AND(tblTasks[[#This Row],[タスクID]]&lt;&gt;"",OR(tblTasks[[#This Row],[状態]]="未着手",tblTasks[[#This Row],[状態]]="対応中")),1,0)</f>
        <v>0</v>
      </c>
      <c r="T1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" s="61">
        <f>IF(OR(HomeStaff="",HomeStaff="全員",HomeStaff=tblTasks[[#This Row],[担当者]]),1,0)</f>
        <v>1</v>
      </c>
      <c r="W10" s="61">
        <f>IF(ISNUMBER(tblTasks[[#This Row],[期限日]]),INT(tblTasks[[#This Row],[期限日]]),99999)*100000+N(tblTasks[[#This Row],[ID番号]])</f>
        <v>9999900000</v>
      </c>
      <c r="X10" s="61">
        <f>IF(AND(OR(tblTasks[[#This Row],[表示区分]]="期限超過",tblTasks[[#This Row],[表示区分]]="本日"),tblTasks[[#This Row],[担当一致]]=1),1,0)</f>
        <v>0</v>
      </c>
      <c r="Y10" s="61" t="str">
        <f>IF(tblTasks[[#This Row],[一覧1対象]]=1,COUNTIFS(tblTasks[一覧1対象],1,tblTasks[並びキー],"&lt;"&amp;tblTasks[[#This Row],[並びキー]])+1,"")</f>
        <v/>
      </c>
      <c r="Z1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" s="61" t="str">
        <f>IF(tblTasks[[#This Row],[一覧3対象]]=1,COUNTIFS(tblTasks[一覧3対象],1,tblTasks[並びキー],"&lt;"&amp;tblTasks[[#This Row],[並びキー]])+1,"")</f>
        <v/>
      </c>
      <c r="AB10" s="61">
        <f>IF(AND(tblTasks[[#This Row],[表示区分]]="今後",INT(N(tblTasks[[#This Row],[期限日]]))&lt;=RefDate+UpcomingDays,tblTasks[[#This Row],[担当一致]]=1),1,0)</f>
        <v>0</v>
      </c>
      <c r="AC10" s="61" t="str">
        <f>IF(tblTasks[[#This Row],[一覧4対象]]=1,COUNTIFS(tblTasks[一覧4対象],1,tblTasks[並びキー],"&lt;"&amp;tblTasks[[#This Row],[並びキー]])+1,"")</f>
        <v/>
      </c>
    </row>
    <row r="11">
      <c r="A11" s="49" t="n"/>
      <c r="B11" s="49" t="n"/>
      <c r="C11" s="50" t="str">
        <f>IF(tblTasks[[#This Row],[案件ID]]="","",IF(tblTasks[[#This Row],[案件行]]="","（未登録の案件ID）",INDEX(tblCases[顧客名],tblTasks[[#This Row],[案件行]])&amp;""))</f>
        <v/>
      </c>
      <c r="D11" s="50" t="str">
        <f>IF(tblTasks[[#This Row],[案件行]]="","",INDEX(tblCases[案件名],tblTasks[[#This Row],[案件行]])&amp;"")</f>
        <v/>
      </c>
      <c r="E11" s="52" t="n"/>
      <c r="F11" s="51" t="n"/>
      <c r="G11" s="65" t="n"/>
      <c r="H11" s="52" t="n"/>
      <c r="I11" s="52" t="n"/>
      <c r="J1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1" s="59" t="n"/>
      <c r="L11" s="51" t="n"/>
      <c r="M1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1" s="61" t="str">
        <f>IFERROR(VALUE(MID(tblTasks[[#This Row],[タスクID]],2,20)),"")</f>
        <v/>
      </c>
      <c r="O11" s="61" t="str">
        <f>tblTasks[[#This Row],[案件ID]]&amp;"|"&amp;tblTasks[[#This Row],[ID番号]]</f>
        <v>|</v>
      </c>
      <c r="P11" s="61" t="str">
        <f>IF(tblTasks[[#This Row],[案件ID]]="","",IFERROR(MATCH(tblTasks[[#This Row],[案件ID]],tblCases[案件ID],0),""))</f>
        <v/>
      </c>
      <c r="Q11" s="61">
        <f>IF(tblTasks[[#This Row],[案件行]]="",0,INDEX(tblCases[連絡停止],tblTasks[[#This Row],[案件行]]))</f>
        <v>0</v>
      </c>
      <c r="R11" s="61" t="str">
        <f>IF(tblTasks[[#This Row],[案件行]]="","",INDEX(tblCases[状態区分],tblTasks[[#This Row],[案件行]])&amp;"")</f>
        <v/>
      </c>
      <c r="S11" s="61">
        <f>IF(AND(tblTasks[[#This Row],[タスクID]]&lt;&gt;"",OR(tblTasks[[#This Row],[状態]]="未着手",tblTasks[[#This Row],[状態]]="対応中")),1,0)</f>
        <v>0</v>
      </c>
      <c r="T1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1" s="61">
        <f>IF(OR(HomeStaff="",HomeStaff="全員",HomeStaff=tblTasks[[#This Row],[担当者]]),1,0)</f>
        <v>1</v>
      </c>
      <c r="W11" s="61">
        <f>IF(ISNUMBER(tblTasks[[#This Row],[期限日]]),INT(tblTasks[[#This Row],[期限日]]),99999)*100000+N(tblTasks[[#This Row],[ID番号]])</f>
        <v>9999900000</v>
      </c>
      <c r="X11" s="61">
        <f>IF(AND(OR(tblTasks[[#This Row],[表示区分]]="期限超過",tblTasks[[#This Row],[表示区分]]="本日"),tblTasks[[#This Row],[担当一致]]=1),1,0)</f>
        <v>0</v>
      </c>
      <c r="Y11" s="61" t="str">
        <f>IF(tblTasks[[#This Row],[一覧1対象]]=1,COUNTIFS(tblTasks[一覧1対象],1,tblTasks[並びキー],"&lt;"&amp;tblTasks[[#This Row],[並びキー]])+1,"")</f>
        <v/>
      </c>
      <c r="Z1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1" s="61" t="str">
        <f>IF(tblTasks[[#This Row],[一覧3対象]]=1,COUNTIFS(tblTasks[一覧3対象],1,tblTasks[並びキー],"&lt;"&amp;tblTasks[[#This Row],[並びキー]])+1,"")</f>
        <v/>
      </c>
      <c r="AB11" s="61">
        <f>IF(AND(tblTasks[[#This Row],[表示区分]]="今後",INT(N(tblTasks[[#This Row],[期限日]]))&lt;=RefDate+UpcomingDays,tblTasks[[#This Row],[担当一致]]=1),1,0)</f>
        <v>0</v>
      </c>
      <c r="AC11" s="61" t="str">
        <f>IF(tblTasks[[#This Row],[一覧4対象]]=1,COUNTIFS(tblTasks[一覧4対象],1,tblTasks[並びキー],"&lt;"&amp;tblTasks[[#This Row],[並びキー]])+1,"")</f>
        <v/>
      </c>
    </row>
    <row r="12">
      <c r="A12" s="49" t="n"/>
      <c r="B12" s="49" t="n"/>
      <c r="C12" s="50" t="str">
        <f>IF(tblTasks[[#This Row],[案件ID]]="","",IF(tblTasks[[#This Row],[案件行]]="","（未登録の案件ID）",INDEX(tblCases[顧客名],tblTasks[[#This Row],[案件行]])&amp;""))</f>
        <v/>
      </c>
      <c r="D12" s="50" t="str">
        <f>IF(tblTasks[[#This Row],[案件行]]="","",INDEX(tblCases[案件名],tblTasks[[#This Row],[案件行]])&amp;"")</f>
        <v/>
      </c>
      <c r="E12" s="52" t="n"/>
      <c r="F12" s="51" t="n"/>
      <c r="G12" s="65" t="n"/>
      <c r="H12" s="52" t="n"/>
      <c r="I12" s="52" t="n"/>
      <c r="J1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2" s="59" t="n"/>
      <c r="L12" s="51" t="n"/>
      <c r="M1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2" s="61" t="str">
        <f>IFERROR(VALUE(MID(tblTasks[[#This Row],[タスクID]],2,20)),"")</f>
        <v/>
      </c>
      <c r="O12" s="61" t="str">
        <f>tblTasks[[#This Row],[案件ID]]&amp;"|"&amp;tblTasks[[#This Row],[ID番号]]</f>
        <v>|</v>
      </c>
      <c r="P12" s="61" t="str">
        <f>IF(tblTasks[[#This Row],[案件ID]]="","",IFERROR(MATCH(tblTasks[[#This Row],[案件ID]],tblCases[案件ID],0),""))</f>
        <v/>
      </c>
      <c r="Q12" s="61">
        <f>IF(tblTasks[[#This Row],[案件行]]="",0,INDEX(tblCases[連絡停止],tblTasks[[#This Row],[案件行]]))</f>
        <v>0</v>
      </c>
      <c r="R12" s="61" t="str">
        <f>IF(tblTasks[[#This Row],[案件行]]="","",INDEX(tblCases[状態区分],tblTasks[[#This Row],[案件行]])&amp;"")</f>
        <v/>
      </c>
      <c r="S12" s="61">
        <f>IF(AND(tblTasks[[#This Row],[タスクID]]&lt;&gt;"",OR(tblTasks[[#This Row],[状態]]="未着手",tblTasks[[#This Row],[状態]]="対応中")),1,0)</f>
        <v>0</v>
      </c>
      <c r="T1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2" s="61">
        <f>IF(OR(HomeStaff="",HomeStaff="全員",HomeStaff=tblTasks[[#This Row],[担当者]]),1,0)</f>
        <v>1</v>
      </c>
      <c r="W12" s="61">
        <f>IF(ISNUMBER(tblTasks[[#This Row],[期限日]]),INT(tblTasks[[#This Row],[期限日]]),99999)*100000+N(tblTasks[[#This Row],[ID番号]])</f>
        <v>9999900000</v>
      </c>
      <c r="X12" s="61">
        <f>IF(AND(OR(tblTasks[[#This Row],[表示区分]]="期限超過",tblTasks[[#This Row],[表示区分]]="本日"),tblTasks[[#This Row],[担当一致]]=1),1,0)</f>
        <v>0</v>
      </c>
      <c r="Y12" s="61" t="str">
        <f>IF(tblTasks[[#This Row],[一覧1対象]]=1,COUNTIFS(tblTasks[一覧1対象],1,tblTasks[並びキー],"&lt;"&amp;tblTasks[[#This Row],[並びキー]])+1,"")</f>
        <v/>
      </c>
      <c r="Z1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2" s="61" t="str">
        <f>IF(tblTasks[[#This Row],[一覧3対象]]=1,COUNTIFS(tblTasks[一覧3対象],1,tblTasks[並びキー],"&lt;"&amp;tblTasks[[#This Row],[並びキー]])+1,"")</f>
        <v/>
      </c>
      <c r="AB12" s="61">
        <f>IF(AND(tblTasks[[#This Row],[表示区分]]="今後",INT(N(tblTasks[[#This Row],[期限日]]))&lt;=RefDate+UpcomingDays,tblTasks[[#This Row],[担当一致]]=1),1,0)</f>
        <v>0</v>
      </c>
      <c r="AC12" s="61" t="str">
        <f>IF(tblTasks[[#This Row],[一覧4対象]]=1,COUNTIFS(tblTasks[一覧4対象],1,tblTasks[並びキー],"&lt;"&amp;tblTasks[[#This Row],[並びキー]])+1,"")</f>
        <v/>
      </c>
    </row>
    <row r="13">
      <c r="A13" s="49" t="n"/>
      <c r="B13" s="49" t="n"/>
      <c r="C13" s="50" t="str">
        <f>IF(tblTasks[[#This Row],[案件ID]]="","",IF(tblTasks[[#This Row],[案件行]]="","（未登録の案件ID）",INDEX(tblCases[顧客名],tblTasks[[#This Row],[案件行]])&amp;""))</f>
        <v/>
      </c>
      <c r="D13" s="50" t="str">
        <f>IF(tblTasks[[#This Row],[案件行]]="","",INDEX(tblCases[案件名],tblTasks[[#This Row],[案件行]])&amp;"")</f>
        <v/>
      </c>
      <c r="E13" s="52" t="n"/>
      <c r="F13" s="51" t="n"/>
      <c r="G13" s="65" t="n"/>
      <c r="H13" s="52" t="n"/>
      <c r="I13" s="52" t="n"/>
      <c r="J1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3" s="59" t="n"/>
      <c r="L13" s="51" t="n"/>
      <c r="M1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3" s="61" t="str">
        <f>IFERROR(VALUE(MID(tblTasks[[#This Row],[タスクID]],2,20)),"")</f>
        <v/>
      </c>
      <c r="O13" s="61" t="str">
        <f>tblTasks[[#This Row],[案件ID]]&amp;"|"&amp;tblTasks[[#This Row],[ID番号]]</f>
        <v>|</v>
      </c>
      <c r="P13" s="61" t="str">
        <f>IF(tblTasks[[#This Row],[案件ID]]="","",IFERROR(MATCH(tblTasks[[#This Row],[案件ID]],tblCases[案件ID],0),""))</f>
        <v/>
      </c>
      <c r="Q13" s="61">
        <f>IF(tblTasks[[#This Row],[案件行]]="",0,INDEX(tblCases[連絡停止],tblTasks[[#This Row],[案件行]]))</f>
        <v>0</v>
      </c>
      <c r="R13" s="61" t="str">
        <f>IF(tblTasks[[#This Row],[案件行]]="","",INDEX(tblCases[状態区分],tblTasks[[#This Row],[案件行]])&amp;"")</f>
        <v/>
      </c>
      <c r="S13" s="61">
        <f>IF(AND(tblTasks[[#This Row],[タスクID]]&lt;&gt;"",OR(tblTasks[[#This Row],[状態]]="未着手",tblTasks[[#This Row],[状態]]="対応中")),1,0)</f>
        <v>0</v>
      </c>
      <c r="T1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3" s="61">
        <f>IF(OR(HomeStaff="",HomeStaff="全員",HomeStaff=tblTasks[[#This Row],[担当者]]),1,0)</f>
        <v>1</v>
      </c>
      <c r="W13" s="61">
        <f>IF(ISNUMBER(tblTasks[[#This Row],[期限日]]),INT(tblTasks[[#This Row],[期限日]]),99999)*100000+N(tblTasks[[#This Row],[ID番号]])</f>
        <v>9999900000</v>
      </c>
      <c r="X13" s="61">
        <f>IF(AND(OR(tblTasks[[#This Row],[表示区分]]="期限超過",tblTasks[[#This Row],[表示区分]]="本日"),tblTasks[[#This Row],[担当一致]]=1),1,0)</f>
        <v>0</v>
      </c>
      <c r="Y13" s="61" t="str">
        <f>IF(tblTasks[[#This Row],[一覧1対象]]=1,COUNTIFS(tblTasks[一覧1対象],1,tblTasks[並びキー],"&lt;"&amp;tblTasks[[#This Row],[並びキー]])+1,"")</f>
        <v/>
      </c>
      <c r="Z1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3" s="61" t="str">
        <f>IF(tblTasks[[#This Row],[一覧3対象]]=1,COUNTIFS(tblTasks[一覧3対象],1,tblTasks[並びキー],"&lt;"&amp;tblTasks[[#This Row],[並びキー]])+1,"")</f>
        <v/>
      </c>
      <c r="AB13" s="61">
        <f>IF(AND(tblTasks[[#This Row],[表示区分]]="今後",INT(N(tblTasks[[#This Row],[期限日]]))&lt;=RefDate+UpcomingDays,tblTasks[[#This Row],[担当一致]]=1),1,0)</f>
        <v>0</v>
      </c>
      <c r="AC13" s="61" t="str">
        <f>IF(tblTasks[[#This Row],[一覧4対象]]=1,COUNTIFS(tblTasks[一覧4対象],1,tblTasks[並びキー],"&lt;"&amp;tblTasks[[#This Row],[並びキー]])+1,"")</f>
        <v/>
      </c>
    </row>
    <row r="14">
      <c r="A14" s="49" t="n"/>
      <c r="B14" s="49" t="n"/>
      <c r="C14" s="50" t="str">
        <f>IF(tblTasks[[#This Row],[案件ID]]="","",IF(tblTasks[[#This Row],[案件行]]="","（未登録の案件ID）",INDEX(tblCases[顧客名],tblTasks[[#This Row],[案件行]])&amp;""))</f>
        <v/>
      </c>
      <c r="D14" s="50" t="str">
        <f>IF(tblTasks[[#This Row],[案件行]]="","",INDEX(tblCases[案件名],tblTasks[[#This Row],[案件行]])&amp;"")</f>
        <v/>
      </c>
      <c r="E14" s="52" t="n"/>
      <c r="F14" s="51" t="n"/>
      <c r="G14" s="65" t="n"/>
      <c r="H14" s="52" t="n"/>
      <c r="I14" s="52" t="n"/>
      <c r="J1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4" s="59" t="n"/>
      <c r="L14" s="51" t="n"/>
      <c r="M1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4" s="61" t="str">
        <f>IFERROR(VALUE(MID(tblTasks[[#This Row],[タスクID]],2,20)),"")</f>
        <v/>
      </c>
      <c r="O14" s="61" t="str">
        <f>tblTasks[[#This Row],[案件ID]]&amp;"|"&amp;tblTasks[[#This Row],[ID番号]]</f>
        <v>|</v>
      </c>
      <c r="P14" s="61" t="str">
        <f>IF(tblTasks[[#This Row],[案件ID]]="","",IFERROR(MATCH(tblTasks[[#This Row],[案件ID]],tblCases[案件ID],0),""))</f>
        <v/>
      </c>
      <c r="Q14" s="61">
        <f>IF(tblTasks[[#This Row],[案件行]]="",0,INDEX(tblCases[連絡停止],tblTasks[[#This Row],[案件行]]))</f>
        <v>0</v>
      </c>
      <c r="R14" s="61" t="str">
        <f>IF(tblTasks[[#This Row],[案件行]]="","",INDEX(tblCases[状態区分],tblTasks[[#This Row],[案件行]])&amp;"")</f>
        <v/>
      </c>
      <c r="S14" s="61">
        <f>IF(AND(tblTasks[[#This Row],[タスクID]]&lt;&gt;"",OR(tblTasks[[#This Row],[状態]]="未着手",tblTasks[[#This Row],[状態]]="対応中")),1,0)</f>
        <v>0</v>
      </c>
      <c r="T1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4" s="61">
        <f>IF(OR(HomeStaff="",HomeStaff="全員",HomeStaff=tblTasks[[#This Row],[担当者]]),1,0)</f>
        <v>1</v>
      </c>
      <c r="W14" s="61">
        <f>IF(ISNUMBER(tblTasks[[#This Row],[期限日]]),INT(tblTasks[[#This Row],[期限日]]),99999)*100000+N(tblTasks[[#This Row],[ID番号]])</f>
        <v>9999900000</v>
      </c>
      <c r="X14" s="61">
        <f>IF(AND(OR(tblTasks[[#This Row],[表示区分]]="期限超過",tblTasks[[#This Row],[表示区分]]="本日"),tblTasks[[#This Row],[担当一致]]=1),1,0)</f>
        <v>0</v>
      </c>
      <c r="Y14" s="61" t="str">
        <f>IF(tblTasks[[#This Row],[一覧1対象]]=1,COUNTIFS(tblTasks[一覧1対象],1,tblTasks[並びキー],"&lt;"&amp;tblTasks[[#This Row],[並びキー]])+1,"")</f>
        <v/>
      </c>
      <c r="Z1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4" s="61" t="str">
        <f>IF(tblTasks[[#This Row],[一覧3対象]]=1,COUNTIFS(tblTasks[一覧3対象],1,tblTasks[並びキー],"&lt;"&amp;tblTasks[[#This Row],[並びキー]])+1,"")</f>
        <v/>
      </c>
      <c r="AB14" s="61">
        <f>IF(AND(tblTasks[[#This Row],[表示区分]]="今後",INT(N(tblTasks[[#This Row],[期限日]]))&lt;=RefDate+UpcomingDays,tblTasks[[#This Row],[担当一致]]=1),1,0)</f>
        <v>0</v>
      </c>
      <c r="AC14" s="61" t="str">
        <f>IF(tblTasks[[#This Row],[一覧4対象]]=1,COUNTIFS(tblTasks[一覧4対象],1,tblTasks[並びキー],"&lt;"&amp;tblTasks[[#This Row],[並びキー]])+1,"")</f>
        <v/>
      </c>
    </row>
    <row r="15">
      <c r="A15" s="49" t="n"/>
      <c r="B15" s="49" t="n"/>
      <c r="C15" s="50" t="str">
        <f>IF(tblTasks[[#This Row],[案件ID]]="","",IF(tblTasks[[#This Row],[案件行]]="","（未登録の案件ID）",INDEX(tblCases[顧客名],tblTasks[[#This Row],[案件行]])&amp;""))</f>
        <v/>
      </c>
      <c r="D15" s="50" t="str">
        <f>IF(tblTasks[[#This Row],[案件行]]="","",INDEX(tblCases[案件名],tblTasks[[#This Row],[案件行]])&amp;"")</f>
        <v/>
      </c>
      <c r="E15" s="52" t="n"/>
      <c r="F15" s="51" t="n"/>
      <c r="G15" s="65" t="n"/>
      <c r="H15" s="52" t="n"/>
      <c r="I15" s="52" t="n"/>
      <c r="J1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5" s="59" t="n"/>
      <c r="L15" s="51" t="n"/>
      <c r="M1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5" s="61" t="str">
        <f>IFERROR(VALUE(MID(tblTasks[[#This Row],[タスクID]],2,20)),"")</f>
        <v/>
      </c>
      <c r="O15" s="61" t="str">
        <f>tblTasks[[#This Row],[案件ID]]&amp;"|"&amp;tblTasks[[#This Row],[ID番号]]</f>
        <v>|</v>
      </c>
      <c r="P15" s="61" t="str">
        <f>IF(tblTasks[[#This Row],[案件ID]]="","",IFERROR(MATCH(tblTasks[[#This Row],[案件ID]],tblCases[案件ID],0),""))</f>
        <v/>
      </c>
      <c r="Q15" s="61">
        <f>IF(tblTasks[[#This Row],[案件行]]="",0,INDEX(tblCases[連絡停止],tblTasks[[#This Row],[案件行]]))</f>
        <v>0</v>
      </c>
      <c r="R15" s="61" t="str">
        <f>IF(tblTasks[[#This Row],[案件行]]="","",INDEX(tblCases[状態区分],tblTasks[[#This Row],[案件行]])&amp;"")</f>
        <v/>
      </c>
      <c r="S15" s="61">
        <f>IF(AND(tblTasks[[#This Row],[タスクID]]&lt;&gt;"",OR(tblTasks[[#This Row],[状態]]="未着手",tblTasks[[#This Row],[状態]]="対応中")),1,0)</f>
        <v>0</v>
      </c>
      <c r="T1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5" s="61">
        <f>IF(OR(HomeStaff="",HomeStaff="全員",HomeStaff=tblTasks[[#This Row],[担当者]]),1,0)</f>
        <v>1</v>
      </c>
      <c r="W15" s="61">
        <f>IF(ISNUMBER(tblTasks[[#This Row],[期限日]]),INT(tblTasks[[#This Row],[期限日]]),99999)*100000+N(tblTasks[[#This Row],[ID番号]])</f>
        <v>9999900000</v>
      </c>
      <c r="X15" s="61">
        <f>IF(AND(OR(tblTasks[[#This Row],[表示区分]]="期限超過",tblTasks[[#This Row],[表示区分]]="本日"),tblTasks[[#This Row],[担当一致]]=1),1,0)</f>
        <v>0</v>
      </c>
      <c r="Y15" s="61" t="str">
        <f>IF(tblTasks[[#This Row],[一覧1対象]]=1,COUNTIFS(tblTasks[一覧1対象],1,tblTasks[並びキー],"&lt;"&amp;tblTasks[[#This Row],[並びキー]])+1,"")</f>
        <v/>
      </c>
      <c r="Z1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5" s="61" t="str">
        <f>IF(tblTasks[[#This Row],[一覧3対象]]=1,COUNTIFS(tblTasks[一覧3対象],1,tblTasks[並びキー],"&lt;"&amp;tblTasks[[#This Row],[並びキー]])+1,"")</f>
        <v/>
      </c>
      <c r="AB15" s="61">
        <f>IF(AND(tblTasks[[#This Row],[表示区分]]="今後",INT(N(tblTasks[[#This Row],[期限日]]))&lt;=RefDate+UpcomingDays,tblTasks[[#This Row],[担当一致]]=1),1,0)</f>
        <v>0</v>
      </c>
      <c r="AC15" s="61" t="str">
        <f>IF(tblTasks[[#This Row],[一覧4対象]]=1,COUNTIFS(tblTasks[一覧4対象],1,tblTasks[並びキー],"&lt;"&amp;tblTasks[[#This Row],[並びキー]])+1,"")</f>
        <v/>
      </c>
    </row>
    <row r="16">
      <c r="A16" s="49" t="n"/>
      <c r="B16" s="49" t="n"/>
      <c r="C16" s="50" t="str">
        <f>IF(tblTasks[[#This Row],[案件ID]]="","",IF(tblTasks[[#This Row],[案件行]]="","（未登録の案件ID）",INDEX(tblCases[顧客名],tblTasks[[#This Row],[案件行]])&amp;""))</f>
        <v/>
      </c>
      <c r="D16" s="50" t="str">
        <f>IF(tblTasks[[#This Row],[案件行]]="","",INDEX(tblCases[案件名],tblTasks[[#This Row],[案件行]])&amp;"")</f>
        <v/>
      </c>
      <c r="E16" s="52" t="n"/>
      <c r="F16" s="51" t="n"/>
      <c r="G16" s="65" t="n"/>
      <c r="H16" s="52" t="n"/>
      <c r="I16" s="52" t="n"/>
      <c r="J1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6" s="59" t="n"/>
      <c r="L16" s="51" t="n"/>
      <c r="M1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6" s="61" t="str">
        <f>IFERROR(VALUE(MID(tblTasks[[#This Row],[タスクID]],2,20)),"")</f>
        <v/>
      </c>
      <c r="O16" s="61" t="str">
        <f>tblTasks[[#This Row],[案件ID]]&amp;"|"&amp;tblTasks[[#This Row],[ID番号]]</f>
        <v>|</v>
      </c>
      <c r="P16" s="61" t="str">
        <f>IF(tblTasks[[#This Row],[案件ID]]="","",IFERROR(MATCH(tblTasks[[#This Row],[案件ID]],tblCases[案件ID],0),""))</f>
        <v/>
      </c>
      <c r="Q16" s="61">
        <f>IF(tblTasks[[#This Row],[案件行]]="",0,INDEX(tblCases[連絡停止],tblTasks[[#This Row],[案件行]]))</f>
        <v>0</v>
      </c>
      <c r="R16" s="61" t="str">
        <f>IF(tblTasks[[#This Row],[案件行]]="","",INDEX(tblCases[状態区分],tblTasks[[#This Row],[案件行]])&amp;"")</f>
        <v/>
      </c>
      <c r="S16" s="61">
        <f>IF(AND(tblTasks[[#This Row],[タスクID]]&lt;&gt;"",OR(tblTasks[[#This Row],[状態]]="未着手",tblTasks[[#This Row],[状態]]="対応中")),1,0)</f>
        <v>0</v>
      </c>
      <c r="T1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6" s="61">
        <f>IF(OR(HomeStaff="",HomeStaff="全員",HomeStaff=tblTasks[[#This Row],[担当者]]),1,0)</f>
        <v>1</v>
      </c>
      <c r="W16" s="61">
        <f>IF(ISNUMBER(tblTasks[[#This Row],[期限日]]),INT(tblTasks[[#This Row],[期限日]]),99999)*100000+N(tblTasks[[#This Row],[ID番号]])</f>
        <v>9999900000</v>
      </c>
      <c r="X16" s="61">
        <f>IF(AND(OR(tblTasks[[#This Row],[表示区分]]="期限超過",tblTasks[[#This Row],[表示区分]]="本日"),tblTasks[[#This Row],[担当一致]]=1),1,0)</f>
        <v>0</v>
      </c>
      <c r="Y16" s="61" t="str">
        <f>IF(tblTasks[[#This Row],[一覧1対象]]=1,COUNTIFS(tblTasks[一覧1対象],1,tblTasks[並びキー],"&lt;"&amp;tblTasks[[#This Row],[並びキー]])+1,"")</f>
        <v/>
      </c>
      <c r="Z1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6" s="61" t="str">
        <f>IF(tblTasks[[#This Row],[一覧3対象]]=1,COUNTIFS(tblTasks[一覧3対象],1,tblTasks[並びキー],"&lt;"&amp;tblTasks[[#This Row],[並びキー]])+1,"")</f>
        <v/>
      </c>
      <c r="AB16" s="61">
        <f>IF(AND(tblTasks[[#This Row],[表示区分]]="今後",INT(N(tblTasks[[#This Row],[期限日]]))&lt;=RefDate+UpcomingDays,tblTasks[[#This Row],[担当一致]]=1),1,0)</f>
        <v>0</v>
      </c>
      <c r="AC16" s="61" t="str">
        <f>IF(tblTasks[[#This Row],[一覧4対象]]=1,COUNTIFS(tblTasks[一覧4対象],1,tblTasks[並びキー],"&lt;"&amp;tblTasks[[#This Row],[並びキー]])+1,"")</f>
        <v/>
      </c>
    </row>
    <row r="17">
      <c r="A17" s="49" t="n"/>
      <c r="B17" s="49" t="n"/>
      <c r="C17" s="50" t="str">
        <f>IF(tblTasks[[#This Row],[案件ID]]="","",IF(tblTasks[[#This Row],[案件行]]="","（未登録の案件ID）",INDEX(tblCases[顧客名],tblTasks[[#This Row],[案件行]])&amp;""))</f>
        <v/>
      </c>
      <c r="D17" s="50" t="str">
        <f>IF(tblTasks[[#This Row],[案件行]]="","",INDEX(tblCases[案件名],tblTasks[[#This Row],[案件行]])&amp;"")</f>
        <v/>
      </c>
      <c r="E17" s="52" t="n"/>
      <c r="F17" s="51" t="n"/>
      <c r="G17" s="65" t="n"/>
      <c r="H17" s="52" t="n"/>
      <c r="I17" s="52" t="n"/>
      <c r="J1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7" s="59" t="n"/>
      <c r="L17" s="51" t="n"/>
      <c r="M1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7" s="61" t="str">
        <f>IFERROR(VALUE(MID(tblTasks[[#This Row],[タスクID]],2,20)),"")</f>
        <v/>
      </c>
      <c r="O17" s="61" t="str">
        <f>tblTasks[[#This Row],[案件ID]]&amp;"|"&amp;tblTasks[[#This Row],[ID番号]]</f>
        <v>|</v>
      </c>
      <c r="P17" s="61" t="str">
        <f>IF(tblTasks[[#This Row],[案件ID]]="","",IFERROR(MATCH(tblTasks[[#This Row],[案件ID]],tblCases[案件ID],0),""))</f>
        <v/>
      </c>
      <c r="Q17" s="61">
        <f>IF(tblTasks[[#This Row],[案件行]]="",0,INDEX(tblCases[連絡停止],tblTasks[[#This Row],[案件行]]))</f>
        <v>0</v>
      </c>
      <c r="R17" s="61" t="str">
        <f>IF(tblTasks[[#This Row],[案件行]]="","",INDEX(tblCases[状態区分],tblTasks[[#This Row],[案件行]])&amp;"")</f>
        <v/>
      </c>
      <c r="S17" s="61">
        <f>IF(AND(tblTasks[[#This Row],[タスクID]]&lt;&gt;"",OR(tblTasks[[#This Row],[状態]]="未着手",tblTasks[[#This Row],[状態]]="対応中")),1,0)</f>
        <v>0</v>
      </c>
      <c r="T1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7" s="61">
        <f>IF(OR(HomeStaff="",HomeStaff="全員",HomeStaff=tblTasks[[#This Row],[担当者]]),1,0)</f>
        <v>1</v>
      </c>
      <c r="W17" s="61">
        <f>IF(ISNUMBER(tblTasks[[#This Row],[期限日]]),INT(tblTasks[[#This Row],[期限日]]),99999)*100000+N(tblTasks[[#This Row],[ID番号]])</f>
        <v>9999900000</v>
      </c>
      <c r="X17" s="61">
        <f>IF(AND(OR(tblTasks[[#This Row],[表示区分]]="期限超過",tblTasks[[#This Row],[表示区分]]="本日"),tblTasks[[#This Row],[担当一致]]=1),1,0)</f>
        <v>0</v>
      </c>
      <c r="Y17" s="61" t="str">
        <f>IF(tblTasks[[#This Row],[一覧1対象]]=1,COUNTIFS(tblTasks[一覧1対象],1,tblTasks[並びキー],"&lt;"&amp;tblTasks[[#This Row],[並びキー]])+1,"")</f>
        <v/>
      </c>
      <c r="Z1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7" s="61" t="str">
        <f>IF(tblTasks[[#This Row],[一覧3対象]]=1,COUNTIFS(tblTasks[一覧3対象],1,tblTasks[並びキー],"&lt;"&amp;tblTasks[[#This Row],[並びキー]])+1,"")</f>
        <v/>
      </c>
      <c r="AB17" s="61">
        <f>IF(AND(tblTasks[[#This Row],[表示区分]]="今後",INT(N(tblTasks[[#This Row],[期限日]]))&lt;=RefDate+UpcomingDays,tblTasks[[#This Row],[担当一致]]=1),1,0)</f>
        <v>0</v>
      </c>
      <c r="AC17" s="61" t="str">
        <f>IF(tblTasks[[#This Row],[一覧4対象]]=1,COUNTIFS(tblTasks[一覧4対象],1,tblTasks[並びキー],"&lt;"&amp;tblTasks[[#This Row],[並びキー]])+1,"")</f>
        <v/>
      </c>
    </row>
    <row r="18">
      <c r="A18" s="49" t="n"/>
      <c r="B18" s="49" t="n"/>
      <c r="C18" s="50" t="str">
        <f>IF(tblTasks[[#This Row],[案件ID]]="","",IF(tblTasks[[#This Row],[案件行]]="","（未登録の案件ID）",INDEX(tblCases[顧客名],tblTasks[[#This Row],[案件行]])&amp;""))</f>
        <v/>
      </c>
      <c r="D18" s="50" t="str">
        <f>IF(tblTasks[[#This Row],[案件行]]="","",INDEX(tblCases[案件名],tblTasks[[#This Row],[案件行]])&amp;"")</f>
        <v/>
      </c>
      <c r="E18" s="52" t="n"/>
      <c r="F18" s="51" t="n"/>
      <c r="G18" s="65" t="n"/>
      <c r="H18" s="52" t="n"/>
      <c r="I18" s="52" t="n"/>
      <c r="J1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8" s="59" t="n"/>
      <c r="L18" s="51" t="n"/>
      <c r="M1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8" s="61" t="str">
        <f>IFERROR(VALUE(MID(tblTasks[[#This Row],[タスクID]],2,20)),"")</f>
        <v/>
      </c>
      <c r="O18" s="61" t="str">
        <f>tblTasks[[#This Row],[案件ID]]&amp;"|"&amp;tblTasks[[#This Row],[ID番号]]</f>
        <v>|</v>
      </c>
      <c r="P18" s="61" t="str">
        <f>IF(tblTasks[[#This Row],[案件ID]]="","",IFERROR(MATCH(tblTasks[[#This Row],[案件ID]],tblCases[案件ID],0),""))</f>
        <v/>
      </c>
      <c r="Q18" s="61">
        <f>IF(tblTasks[[#This Row],[案件行]]="",0,INDEX(tblCases[連絡停止],tblTasks[[#This Row],[案件行]]))</f>
        <v>0</v>
      </c>
      <c r="R18" s="61" t="str">
        <f>IF(tblTasks[[#This Row],[案件行]]="","",INDEX(tblCases[状態区分],tblTasks[[#This Row],[案件行]])&amp;"")</f>
        <v/>
      </c>
      <c r="S18" s="61">
        <f>IF(AND(tblTasks[[#This Row],[タスクID]]&lt;&gt;"",OR(tblTasks[[#This Row],[状態]]="未着手",tblTasks[[#This Row],[状態]]="対応中")),1,0)</f>
        <v>0</v>
      </c>
      <c r="T1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8" s="61">
        <f>IF(OR(HomeStaff="",HomeStaff="全員",HomeStaff=tblTasks[[#This Row],[担当者]]),1,0)</f>
        <v>1</v>
      </c>
      <c r="W18" s="61">
        <f>IF(ISNUMBER(tblTasks[[#This Row],[期限日]]),INT(tblTasks[[#This Row],[期限日]]),99999)*100000+N(tblTasks[[#This Row],[ID番号]])</f>
        <v>9999900000</v>
      </c>
      <c r="X18" s="61">
        <f>IF(AND(OR(tblTasks[[#This Row],[表示区分]]="期限超過",tblTasks[[#This Row],[表示区分]]="本日"),tblTasks[[#This Row],[担当一致]]=1),1,0)</f>
        <v>0</v>
      </c>
      <c r="Y18" s="61" t="str">
        <f>IF(tblTasks[[#This Row],[一覧1対象]]=1,COUNTIFS(tblTasks[一覧1対象],1,tblTasks[並びキー],"&lt;"&amp;tblTasks[[#This Row],[並びキー]])+1,"")</f>
        <v/>
      </c>
      <c r="Z1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8" s="61" t="str">
        <f>IF(tblTasks[[#This Row],[一覧3対象]]=1,COUNTIFS(tblTasks[一覧3対象],1,tblTasks[並びキー],"&lt;"&amp;tblTasks[[#This Row],[並びキー]])+1,"")</f>
        <v/>
      </c>
      <c r="AB18" s="61">
        <f>IF(AND(tblTasks[[#This Row],[表示区分]]="今後",INT(N(tblTasks[[#This Row],[期限日]]))&lt;=RefDate+UpcomingDays,tblTasks[[#This Row],[担当一致]]=1),1,0)</f>
        <v>0</v>
      </c>
      <c r="AC18" s="61" t="str">
        <f>IF(tblTasks[[#This Row],[一覧4対象]]=1,COUNTIFS(tblTasks[一覧4対象],1,tblTasks[並びキー],"&lt;"&amp;tblTasks[[#This Row],[並びキー]])+1,"")</f>
        <v/>
      </c>
    </row>
    <row r="19">
      <c r="A19" s="49" t="n"/>
      <c r="B19" s="49" t="n"/>
      <c r="C19" s="50" t="str">
        <f>IF(tblTasks[[#This Row],[案件ID]]="","",IF(tblTasks[[#This Row],[案件行]]="","（未登録の案件ID）",INDEX(tblCases[顧客名],tblTasks[[#This Row],[案件行]])&amp;""))</f>
        <v/>
      </c>
      <c r="D19" s="50" t="str">
        <f>IF(tblTasks[[#This Row],[案件行]]="","",INDEX(tblCases[案件名],tblTasks[[#This Row],[案件行]])&amp;"")</f>
        <v/>
      </c>
      <c r="E19" s="52" t="n"/>
      <c r="F19" s="51" t="n"/>
      <c r="G19" s="65" t="n"/>
      <c r="H19" s="52" t="n"/>
      <c r="I19" s="52" t="n"/>
      <c r="J1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9" s="59" t="n"/>
      <c r="L19" s="51" t="n"/>
      <c r="M1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9" s="61" t="str">
        <f>IFERROR(VALUE(MID(tblTasks[[#This Row],[タスクID]],2,20)),"")</f>
        <v/>
      </c>
      <c r="O19" s="61" t="str">
        <f>tblTasks[[#This Row],[案件ID]]&amp;"|"&amp;tblTasks[[#This Row],[ID番号]]</f>
        <v>|</v>
      </c>
      <c r="P19" s="61" t="str">
        <f>IF(tblTasks[[#This Row],[案件ID]]="","",IFERROR(MATCH(tblTasks[[#This Row],[案件ID]],tblCases[案件ID],0),""))</f>
        <v/>
      </c>
      <c r="Q19" s="61">
        <f>IF(tblTasks[[#This Row],[案件行]]="",0,INDEX(tblCases[連絡停止],tblTasks[[#This Row],[案件行]]))</f>
        <v>0</v>
      </c>
      <c r="R19" s="61" t="str">
        <f>IF(tblTasks[[#This Row],[案件行]]="","",INDEX(tblCases[状態区分],tblTasks[[#This Row],[案件行]])&amp;"")</f>
        <v/>
      </c>
      <c r="S19" s="61">
        <f>IF(AND(tblTasks[[#This Row],[タスクID]]&lt;&gt;"",OR(tblTasks[[#This Row],[状態]]="未着手",tblTasks[[#This Row],[状態]]="対応中")),1,0)</f>
        <v>0</v>
      </c>
      <c r="T1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9" s="61">
        <f>IF(OR(HomeStaff="",HomeStaff="全員",HomeStaff=tblTasks[[#This Row],[担当者]]),1,0)</f>
        <v>1</v>
      </c>
      <c r="W19" s="61">
        <f>IF(ISNUMBER(tblTasks[[#This Row],[期限日]]),INT(tblTasks[[#This Row],[期限日]]),99999)*100000+N(tblTasks[[#This Row],[ID番号]])</f>
        <v>9999900000</v>
      </c>
      <c r="X19" s="61">
        <f>IF(AND(OR(tblTasks[[#This Row],[表示区分]]="期限超過",tblTasks[[#This Row],[表示区分]]="本日"),tblTasks[[#This Row],[担当一致]]=1),1,0)</f>
        <v>0</v>
      </c>
      <c r="Y19" s="61" t="str">
        <f>IF(tblTasks[[#This Row],[一覧1対象]]=1,COUNTIFS(tblTasks[一覧1対象],1,tblTasks[並びキー],"&lt;"&amp;tblTasks[[#This Row],[並びキー]])+1,"")</f>
        <v/>
      </c>
      <c r="Z1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9" s="61" t="str">
        <f>IF(tblTasks[[#This Row],[一覧3対象]]=1,COUNTIFS(tblTasks[一覧3対象],1,tblTasks[並びキー],"&lt;"&amp;tblTasks[[#This Row],[並びキー]])+1,"")</f>
        <v/>
      </c>
      <c r="AB19" s="61">
        <f>IF(AND(tblTasks[[#This Row],[表示区分]]="今後",INT(N(tblTasks[[#This Row],[期限日]]))&lt;=RefDate+UpcomingDays,tblTasks[[#This Row],[担当一致]]=1),1,0)</f>
        <v>0</v>
      </c>
      <c r="AC19" s="61" t="str">
        <f>IF(tblTasks[[#This Row],[一覧4対象]]=1,COUNTIFS(tblTasks[一覧4対象],1,tblTasks[並びキー],"&lt;"&amp;tblTasks[[#This Row],[並びキー]])+1,"")</f>
        <v/>
      </c>
    </row>
    <row r="20">
      <c r="A20" s="49" t="n"/>
      <c r="B20" s="49" t="n"/>
      <c r="C20" s="50" t="str">
        <f>IF(tblTasks[[#This Row],[案件ID]]="","",IF(tblTasks[[#This Row],[案件行]]="","（未登録の案件ID）",INDEX(tblCases[顧客名],tblTasks[[#This Row],[案件行]])&amp;""))</f>
        <v/>
      </c>
      <c r="D20" s="50" t="str">
        <f>IF(tblTasks[[#This Row],[案件行]]="","",INDEX(tblCases[案件名],tblTasks[[#This Row],[案件行]])&amp;"")</f>
        <v/>
      </c>
      <c r="E20" s="52" t="n"/>
      <c r="F20" s="51" t="n"/>
      <c r="G20" s="65" t="n"/>
      <c r="H20" s="52" t="n"/>
      <c r="I20" s="52" t="n"/>
      <c r="J2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0" s="59" t="n"/>
      <c r="L20" s="51" t="n"/>
      <c r="M2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0" s="61" t="str">
        <f>IFERROR(VALUE(MID(tblTasks[[#This Row],[タスクID]],2,20)),"")</f>
        <v/>
      </c>
      <c r="O20" s="61" t="str">
        <f>tblTasks[[#This Row],[案件ID]]&amp;"|"&amp;tblTasks[[#This Row],[ID番号]]</f>
        <v>|</v>
      </c>
      <c r="P20" s="61" t="str">
        <f>IF(tblTasks[[#This Row],[案件ID]]="","",IFERROR(MATCH(tblTasks[[#This Row],[案件ID]],tblCases[案件ID],0),""))</f>
        <v/>
      </c>
      <c r="Q20" s="61">
        <f>IF(tblTasks[[#This Row],[案件行]]="",0,INDEX(tblCases[連絡停止],tblTasks[[#This Row],[案件行]]))</f>
        <v>0</v>
      </c>
      <c r="R20" s="61" t="str">
        <f>IF(tblTasks[[#This Row],[案件行]]="","",INDEX(tblCases[状態区分],tblTasks[[#This Row],[案件行]])&amp;"")</f>
        <v/>
      </c>
      <c r="S20" s="61">
        <f>IF(AND(tblTasks[[#This Row],[タスクID]]&lt;&gt;"",OR(tblTasks[[#This Row],[状態]]="未着手",tblTasks[[#This Row],[状態]]="対応中")),1,0)</f>
        <v>0</v>
      </c>
      <c r="T2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0" s="61">
        <f>IF(OR(HomeStaff="",HomeStaff="全員",HomeStaff=tblTasks[[#This Row],[担当者]]),1,0)</f>
        <v>1</v>
      </c>
      <c r="W20" s="61">
        <f>IF(ISNUMBER(tblTasks[[#This Row],[期限日]]),INT(tblTasks[[#This Row],[期限日]]),99999)*100000+N(tblTasks[[#This Row],[ID番号]])</f>
        <v>9999900000</v>
      </c>
      <c r="X20" s="61">
        <f>IF(AND(OR(tblTasks[[#This Row],[表示区分]]="期限超過",tblTasks[[#This Row],[表示区分]]="本日"),tblTasks[[#This Row],[担当一致]]=1),1,0)</f>
        <v>0</v>
      </c>
      <c r="Y20" s="61" t="str">
        <f>IF(tblTasks[[#This Row],[一覧1対象]]=1,COUNTIFS(tblTasks[一覧1対象],1,tblTasks[並びキー],"&lt;"&amp;tblTasks[[#This Row],[並びキー]])+1,"")</f>
        <v/>
      </c>
      <c r="Z2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0" s="61" t="str">
        <f>IF(tblTasks[[#This Row],[一覧3対象]]=1,COUNTIFS(tblTasks[一覧3対象],1,tblTasks[並びキー],"&lt;"&amp;tblTasks[[#This Row],[並びキー]])+1,"")</f>
        <v/>
      </c>
      <c r="AB20" s="61">
        <f>IF(AND(tblTasks[[#This Row],[表示区分]]="今後",INT(N(tblTasks[[#This Row],[期限日]]))&lt;=RefDate+UpcomingDays,tblTasks[[#This Row],[担当一致]]=1),1,0)</f>
        <v>0</v>
      </c>
      <c r="AC20" s="61" t="str">
        <f>IF(tblTasks[[#This Row],[一覧4対象]]=1,COUNTIFS(tblTasks[一覧4対象],1,tblTasks[並びキー],"&lt;"&amp;tblTasks[[#This Row],[並びキー]])+1,"")</f>
        <v/>
      </c>
    </row>
    <row r="21">
      <c r="A21" s="49" t="n"/>
      <c r="B21" s="49" t="n"/>
      <c r="C21" s="50" t="str">
        <f>IF(tblTasks[[#This Row],[案件ID]]="","",IF(tblTasks[[#This Row],[案件行]]="","（未登録の案件ID）",INDEX(tblCases[顧客名],tblTasks[[#This Row],[案件行]])&amp;""))</f>
        <v/>
      </c>
      <c r="D21" s="50" t="str">
        <f>IF(tblTasks[[#This Row],[案件行]]="","",INDEX(tblCases[案件名],tblTasks[[#This Row],[案件行]])&amp;"")</f>
        <v/>
      </c>
      <c r="E21" s="52" t="n"/>
      <c r="F21" s="51" t="n"/>
      <c r="G21" s="65" t="n"/>
      <c r="H21" s="52" t="n"/>
      <c r="I21" s="52" t="n"/>
      <c r="J2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1" s="59" t="n"/>
      <c r="L21" s="51" t="n"/>
      <c r="M2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1" s="61" t="str">
        <f>IFERROR(VALUE(MID(tblTasks[[#This Row],[タスクID]],2,20)),"")</f>
        <v/>
      </c>
      <c r="O21" s="61" t="str">
        <f>tblTasks[[#This Row],[案件ID]]&amp;"|"&amp;tblTasks[[#This Row],[ID番号]]</f>
        <v>|</v>
      </c>
      <c r="P21" s="61" t="str">
        <f>IF(tblTasks[[#This Row],[案件ID]]="","",IFERROR(MATCH(tblTasks[[#This Row],[案件ID]],tblCases[案件ID],0),""))</f>
        <v/>
      </c>
      <c r="Q21" s="61">
        <f>IF(tblTasks[[#This Row],[案件行]]="",0,INDEX(tblCases[連絡停止],tblTasks[[#This Row],[案件行]]))</f>
        <v>0</v>
      </c>
      <c r="R21" s="61" t="str">
        <f>IF(tblTasks[[#This Row],[案件行]]="","",INDEX(tblCases[状態区分],tblTasks[[#This Row],[案件行]])&amp;"")</f>
        <v/>
      </c>
      <c r="S21" s="61">
        <f>IF(AND(tblTasks[[#This Row],[タスクID]]&lt;&gt;"",OR(tblTasks[[#This Row],[状態]]="未着手",tblTasks[[#This Row],[状態]]="対応中")),1,0)</f>
        <v>0</v>
      </c>
      <c r="T2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1" s="61">
        <f>IF(OR(HomeStaff="",HomeStaff="全員",HomeStaff=tblTasks[[#This Row],[担当者]]),1,0)</f>
        <v>1</v>
      </c>
      <c r="W21" s="61">
        <f>IF(ISNUMBER(tblTasks[[#This Row],[期限日]]),INT(tblTasks[[#This Row],[期限日]]),99999)*100000+N(tblTasks[[#This Row],[ID番号]])</f>
        <v>9999900000</v>
      </c>
      <c r="X21" s="61">
        <f>IF(AND(OR(tblTasks[[#This Row],[表示区分]]="期限超過",tblTasks[[#This Row],[表示区分]]="本日"),tblTasks[[#This Row],[担当一致]]=1),1,0)</f>
        <v>0</v>
      </c>
      <c r="Y21" s="61" t="str">
        <f>IF(tblTasks[[#This Row],[一覧1対象]]=1,COUNTIFS(tblTasks[一覧1対象],1,tblTasks[並びキー],"&lt;"&amp;tblTasks[[#This Row],[並びキー]])+1,"")</f>
        <v/>
      </c>
      <c r="Z2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1" s="61" t="str">
        <f>IF(tblTasks[[#This Row],[一覧3対象]]=1,COUNTIFS(tblTasks[一覧3対象],1,tblTasks[並びキー],"&lt;"&amp;tblTasks[[#This Row],[並びキー]])+1,"")</f>
        <v/>
      </c>
      <c r="AB21" s="61">
        <f>IF(AND(tblTasks[[#This Row],[表示区分]]="今後",INT(N(tblTasks[[#This Row],[期限日]]))&lt;=RefDate+UpcomingDays,tblTasks[[#This Row],[担当一致]]=1),1,0)</f>
        <v>0</v>
      </c>
      <c r="AC21" s="61" t="str">
        <f>IF(tblTasks[[#This Row],[一覧4対象]]=1,COUNTIFS(tblTasks[一覧4対象],1,tblTasks[並びキー],"&lt;"&amp;tblTasks[[#This Row],[並びキー]])+1,"")</f>
        <v/>
      </c>
    </row>
    <row r="22">
      <c r="A22" s="49" t="n"/>
      <c r="B22" s="49" t="n"/>
      <c r="C22" s="50" t="str">
        <f>IF(tblTasks[[#This Row],[案件ID]]="","",IF(tblTasks[[#This Row],[案件行]]="","（未登録の案件ID）",INDEX(tblCases[顧客名],tblTasks[[#This Row],[案件行]])&amp;""))</f>
        <v/>
      </c>
      <c r="D22" s="50" t="str">
        <f>IF(tblTasks[[#This Row],[案件行]]="","",INDEX(tblCases[案件名],tblTasks[[#This Row],[案件行]])&amp;"")</f>
        <v/>
      </c>
      <c r="E22" s="52" t="n"/>
      <c r="F22" s="51" t="n"/>
      <c r="G22" s="65" t="n"/>
      <c r="H22" s="52" t="n"/>
      <c r="I22" s="52" t="n"/>
      <c r="J2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2" s="59" t="n"/>
      <c r="L22" s="51" t="n"/>
      <c r="M2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2" s="61" t="str">
        <f>IFERROR(VALUE(MID(tblTasks[[#This Row],[タスクID]],2,20)),"")</f>
        <v/>
      </c>
      <c r="O22" s="61" t="str">
        <f>tblTasks[[#This Row],[案件ID]]&amp;"|"&amp;tblTasks[[#This Row],[ID番号]]</f>
        <v>|</v>
      </c>
      <c r="P22" s="61" t="str">
        <f>IF(tblTasks[[#This Row],[案件ID]]="","",IFERROR(MATCH(tblTasks[[#This Row],[案件ID]],tblCases[案件ID],0),""))</f>
        <v/>
      </c>
      <c r="Q22" s="61">
        <f>IF(tblTasks[[#This Row],[案件行]]="",0,INDEX(tblCases[連絡停止],tblTasks[[#This Row],[案件行]]))</f>
        <v>0</v>
      </c>
      <c r="R22" s="61" t="str">
        <f>IF(tblTasks[[#This Row],[案件行]]="","",INDEX(tblCases[状態区分],tblTasks[[#This Row],[案件行]])&amp;"")</f>
        <v/>
      </c>
      <c r="S22" s="61">
        <f>IF(AND(tblTasks[[#This Row],[タスクID]]&lt;&gt;"",OR(tblTasks[[#This Row],[状態]]="未着手",tblTasks[[#This Row],[状態]]="対応中")),1,0)</f>
        <v>0</v>
      </c>
      <c r="T2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2" s="61">
        <f>IF(OR(HomeStaff="",HomeStaff="全員",HomeStaff=tblTasks[[#This Row],[担当者]]),1,0)</f>
        <v>1</v>
      </c>
      <c r="W22" s="61">
        <f>IF(ISNUMBER(tblTasks[[#This Row],[期限日]]),INT(tblTasks[[#This Row],[期限日]]),99999)*100000+N(tblTasks[[#This Row],[ID番号]])</f>
        <v>9999900000</v>
      </c>
      <c r="X22" s="61">
        <f>IF(AND(OR(tblTasks[[#This Row],[表示区分]]="期限超過",tblTasks[[#This Row],[表示区分]]="本日"),tblTasks[[#This Row],[担当一致]]=1),1,0)</f>
        <v>0</v>
      </c>
      <c r="Y22" s="61" t="str">
        <f>IF(tblTasks[[#This Row],[一覧1対象]]=1,COUNTIFS(tblTasks[一覧1対象],1,tblTasks[並びキー],"&lt;"&amp;tblTasks[[#This Row],[並びキー]])+1,"")</f>
        <v/>
      </c>
      <c r="Z2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2" s="61" t="str">
        <f>IF(tblTasks[[#This Row],[一覧3対象]]=1,COUNTIFS(tblTasks[一覧3対象],1,tblTasks[並びキー],"&lt;"&amp;tblTasks[[#This Row],[並びキー]])+1,"")</f>
        <v/>
      </c>
      <c r="AB22" s="61">
        <f>IF(AND(tblTasks[[#This Row],[表示区分]]="今後",INT(N(tblTasks[[#This Row],[期限日]]))&lt;=RefDate+UpcomingDays,tblTasks[[#This Row],[担当一致]]=1),1,0)</f>
        <v>0</v>
      </c>
      <c r="AC22" s="61" t="str">
        <f>IF(tblTasks[[#This Row],[一覧4対象]]=1,COUNTIFS(tblTasks[一覧4対象],1,tblTasks[並びキー],"&lt;"&amp;tblTasks[[#This Row],[並びキー]])+1,"")</f>
        <v/>
      </c>
    </row>
    <row r="23">
      <c r="A23" s="49" t="n"/>
      <c r="B23" s="49" t="n"/>
      <c r="C23" s="50" t="str">
        <f>IF(tblTasks[[#This Row],[案件ID]]="","",IF(tblTasks[[#This Row],[案件行]]="","（未登録の案件ID）",INDEX(tblCases[顧客名],tblTasks[[#This Row],[案件行]])&amp;""))</f>
        <v/>
      </c>
      <c r="D23" s="50" t="str">
        <f>IF(tblTasks[[#This Row],[案件行]]="","",INDEX(tblCases[案件名],tblTasks[[#This Row],[案件行]])&amp;"")</f>
        <v/>
      </c>
      <c r="E23" s="52" t="n"/>
      <c r="F23" s="51" t="n"/>
      <c r="G23" s="65" t="n"/>
      <c r="H23" s="52" t="n"/>
      <c r="I23" s="52" t="n"/>
      <c r="J2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3" s="59" t="n"/>
      <c r="L23" s="51" t="n"/>
      <c r="M2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3" s="61" t="str">
        <f>IFERROR(VALUE(MID(tblTasks[[#This Row],[タスクID]],2,20)),"")</f>
        <v/>
      </c>
      <c r="O23" s="61" t="str">
        <f>tblTasks[[#This Row],[案件ID]]&amp;"|"&amp;tblTasks[[#This Row],[ID番号]]</f>
        <v>|</v>
      </c>
      <c r="P23" s="61" t="str">
        <f>IF(tblTasks[[#This Row],[案件ID]]="","",IFERROR(MATCH(tblTasks[[#This Row],[案件ID]],tblCases[案件ID],0),""))</f>
        <v/>
      </c>
      <c r="Q23" s="61">
        <f>IF(tblTasks[[#This Row],[案件行]]="",0,INDEX(tblCases[連絡停止],tblTasks[[#This Row],[案件行]]))</f>
        <v>0</v>
      </c>
      <c r="R23" s="61" t="str">
        <f>IF(tblTasks[[#This Row],[案件行]]="","",INDEX(tblCases[状態区分],tblTasks[[#This Row],[案件行]])&amp;"")</f>
        <v/>
      </c>
      <c r="S23" s="61">
        <f>IF(AND(tblTasks[[#This Row],[タスクID]]&lt;&gt;"",OR(tblTasks[[#This Row],[状態]]="未着手",tblTasks[[#This Row],[状態]]="対応中")),1,0)</f>
        <v>0</v>
      </c>
      <c r="T2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3" s="61">
        <f>IF(OR(HomeStaff="",HomeStaff="全員",HomeStaff=tblTasks[[#This Row],[担当者]]),1,0)</f>
        <v>1</v>
      </c>
      <c r="W23" s="61">
        <f>IF(ISNUMBER(tblTasks[[#This Row],[期限日]]),INT(tblTasks[[#This Row],[期限日]]),99999)*100000+N(tblTasks[[#This Row],[ID番号]])</f>
        <v>9999900000</v>
      </c>
      <c r="X23" s="61">
        <f>IF(AND(OR(tblTasks[[#This Row],[表示区分]]="期限超過",tblTasks[[#This Row],[表示区分]]="本日"),tblTasks[[#This Row],[担当一致]]=1),1,0)</f>
        <v>0</v>
      </c>
      <c r="Y23" s="61" t="str">
        <f>IF(tblTasks[[#This Row],[一覧1対象]]=1,COUNTIFS(tblTasks[一覧1対象],1,tblTasks[並びキー],"&lt;"&amp;tblTasks[[#This Row],[並びキー]])+1,"")</f>
        <v/>
      </c>
      <c r="Z2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3" s="61" t="str">
        <f>IF(tblTasks[[#This Row],[一覧3対象]]=1,COUNTIFS(tblTasks[一覧3対象],1,tblTasks[並びキー],"&lt;"&amp;tblTasks[[#This Row],[並びキー]])+1,"")</f>
        <v/>
      </c>
      <c r="AB23" s="61">
        <f>IF(AND(tblTasks[[#This Row],[表示区分]]="今後",INT(N(tblTasks[[#This Row],[期限日]]))&lt;=RefDate+UpcomingDays,tblTasks[[#This Row],[担当一致]]=1),1,0)</f>
        <v>0</v>
      </c>
      <c r="AC23" s="61" t="str">
        <f>IF(tblTasks[[#This Row],[一覧4対象]]=1,COUNTIFS(tblTasks[一覧4対象],1,tblTasks[並びキー],"&lt;"&amp;tblTasks[[#This Row],[並びキー]])+1,"")</f>
        <v/>
      </c>
    </row>
    <row r="24">
      <c r="A24" s="49" t="n"/>
      <c r="B24" s="49" t="n"/>
      <c r="C24" s="50" t="str">
        <f>IF(tblTasks[[#This Row],[案件ID]]="","",IF(tblTasks[[#This Row],[案件行]]="","（未登録の案件ID）",INDEX(tblCases[顧客名],tblTasks[[#This Row],[案件行]])&amp;""))</f>
        <v/>
      </c>
      <c r="D24" s="50" t="str">
        <f>IF(tblTasks[[#This Row],[案件行]]="","",INDEX(tblCases[案件名],tblTasks[[#This Row],[案件行]])&amp;"")</f>
        <v/>
      </c>
      <c r="E24" s="52" t="n"/>
      <c r="F24" s="51" t="n"/>
      <c r="G24" s="65" t="n"/>
      <c r="H24" s="52" t="n"/>
      <c r="I24" s="52" t="n"/>
      <c r="J2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4" s="59" t="n"/>
      <c r="L24" s="51" t="n"/>
      <c r="M2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4" s="61" t="str">
        <f>IFERROR(VALUE(MID(tblTasks[[#This Row],[タスクID]],2,20)),"")</f>
        <v/>
      </c>
      <c r="O24" s="61" t="str">
        <f>tblTasks[[#This Row],[案件ID]]&amp;"|"&amp;tblTasks[[#This Row],[ID番号]]</f>
        <v>|</v>
      </c>
      <c r="P24" s="61" t="str">
        <f>IF(tblTasks[[#This Row],[案件ID]]="","",IFERROR(MATCH(tblTasks[[#This Row],[案件ID]],tblCases[案件ID],0),""))</f>
        <v/>
      </c>
      <c r="Q24" s="61">
        <f>IF(tblTasks[[#This Row],[案件行]]="",0,INDEX(tblCases[連絡停止],tblTasks[[#This Row],[案件行]]))</f>
        <v>0</v>
      </c>
      <c r="R24" s="61" t="str">
        <f>IF(tblTasks[[#This Row],[案件行]]="","",INDEX(tblCases[状態区分],tblTasks[[#This Row],[案件行]])&amp;"")</f>
        <v/>
      </c>
      <c r="S24" s="61">
        <f>IF(AND(tblTasks[[#This Row],[タスクID]]&lt;&gt;"",OR(tblTasks[[#This Row],[状態]]="未着手",tblTasks[[#This Row],[状態]]="対応中")),1,0)</f>
        <v>0</v>
      </c>
      <c r="T2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4" s="61">
        <f>IF(OR(HomeStaff="",HomeStaff="全員",HomeStaff=tblTasks[[#This Row],[担当者]]),1,0)</f>
        <v>1</v>
      </c>
      <c r="W24" s="61">
        <f>IF(ISNUMBER(tblTasks[[#This Row],[期限日]]),INT(tblTasks[[#This Row],[期限日]]),99999)*100000+N(tblTasks[[#This Row],[ID番号]])</f>
        <v>9999900000</v>
      </c>
      <c r="X24" s="61">
        <f>IF(AND(OR(tblTasks[[#This Row],[表示区分]]="期限超過",tblTasks[[#This Row],[表示区分]]="本日"),tblTasks[[#This Row],[担当一致]]=1),1,0)</f>
        <v>0</v>
      </c>
      <c r="Y24" s="61" t="str">
        <f>IF(tblTasks[[#This Row],[一覧1対象]]=1,COUNTIFS(tblTasks[一覧1対象],1,tblTasks[並びキー],"&lt;"&amp;tblTasks[[#This Row],[並びキー]])+1,"")</f>
        <v/>
      </c>
      <c r="Z2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4" s="61" t="str">
        <f>IF(tblTasks[[#This Row],[一覧3対象]]=1,COUNTIFS(tblTasks[一覧3対象],1,tblTasks[並びキー],"&lt;"&amp;tblTasks[[#This Row],[並びキー]])+1,"")</f>
        <v/>
      </c>
      <c r="AB24" s="61">
        <f>IF(AND(tblTasks[[#This Row],[表示区分]]="今後",INT(N(tblTasks[[#This Row],[期限日]]))&lt;=RefDate+UpcomingDays,tblTasks[[#This Row],[担当一致]]=1),1,0)</f>
        <v>0</v>
      </c>
      <c r="AC24" s="61" t="str">
        <f>IF(tblTasks[[#This Row],[一覧4対象]]=1,COUNTIFS(tblTasks[一覧4対象],1,tblTasks[並びキー],"&lt;"&amp;tblTasks[[#This Row],[並びキー]])+1,"")</f>
        <v/>
      </c>
    </row>
    <row r="25">
      <c r="A25" s="49" t="n"/>
      <c r="B25" s="49" t="n"/>
      <c r="C25" s="50" t="str">
        <f>IF(tblTasks[[#This Row],[案件ID]]="","",IF(tblTasks[[#This Row],[案件行]]="","（未登録の案件ID）",INDEX(tblCases[顧客名],tblTasks[[#This Row],[案件行]])&amp;""))</f>
        <v/>
      </c>
      <c r="D25" s="50" t="str">
        <f>IF(tblTasks[[#This Row],[案件行]]="","",INDEX(tblCases[案件名],tblTasks[[#This Row],[案件行]])&amp;"")</f>
        <v/>
      </c>
      <c r="E25" s="52" t="n"/>
      <c r="F25" s="51" t="n"/>
      <c r="G25" s="65" t="n"/>
      <c r="H25" s="52" t="n"/>
      <c r="I25" s="52" t="n"/>
      <c r="J2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5" s="59" t="n"/>
      <c r="L25" s="51" t="n"/>
      <c r="M2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5" s="61" t="str">
        <f>IFERROR(VALUE(MID(tblTasks[[#This Row],[タスクID]],2,20)),"")</f>
        <v/>
      </c>
      <c r="O25" s="61" t="str">
        <f>tblTasks[[#This Row],[案件ID]]&amp;"|"&amp;tblTasks[[#This Row],[ID番号]]</f>
        <v>|</v>
      </c>
      <c r="P25" s="61" t="str">
        <f>IF(tblTasks[[#This Row],[案件ID]]="","",IFERROR(MATCH(tblTasks[[#This Row],[案件ID]],tblCases[案件ID],0),""))</f>
        <v/>
      </c>
      <c r="Q25" s="61">
        <f>IF(tblTasks[[#This Row],[案件行]]="",0,INDEX(tblCases[連絡停止],tblTasks[[#This Row],[案件行]]))</f>
        <v>0</v>
      </c>
      <c r="R25" s="61" t="str">
        <f>IF(tblTasks[[#This Row],[案件行]]="","",INDEX(tblCases[状態区分],tblTasks[[#This Row],[案件行]])&amp;"")</f>
        <v/>
      </c>
      <c r="S25" s="61">
        <f>IF(AND(tblTasks[[#This Row],[タスクID]]&lt;&gt;"",OR(tblTasks[[#This Row],[状態]]="未着手",tblTasks[[#This Row],[状態]]="対応中")),1,0)</f>
        <v>0</v>
      </c>
      <c r="T2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5" s="61">
        <f>IF(OR(HomeStaff="",HomeStaff="全員",HomeStaff=tblTasks[[#This Row],[担当者]]),1,0)</f>
        <v>1</v>
      </c>
      <c r="W25" s="61">
        <f>IF(ISNUMBER(tblTasks[[#This Row],[期限日]]),INT(tblTasks[[#This Row],[期限日]]),99999)*100000+N(tblTasks[[#This Row],[ID番号]])</f>
        <v>9999900000</v>
      </c>
      <c r="X25" s="61">
        <f>IF(AND(OR(tblTasks[[#This Row],[表示区分]]="期限超過",tblTasks[[#This Row],[表示区分]]="本日"),tblTasks[[#This Row],[担当一致]]=1),1,0)</f>
        <v>0</v>
      </c>
      <c r="Y25" s="61" t="str">
        <f>IF(tblTasks[[#This Row],[一覧1対象]]=1,COUNTIFS(tblTasks[一覧1対象],1,tblTasks[並びキー],"&lt;"&amp;tblTasks[[#This Row],[並びキー]])+1,"")</f>
        <v/>
      </c>
      <c r="Z2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5" s="61" t="str">
        <f>IF(tblTasks[[#This Row],[一覧3対象]]=1,COUNTIFS(tblTasks[一覧3対象],1,tblTasks[並びキー],"&lt;"&amp;tblTasks[[#This Row],[並びキー]])+1,"")</f>
        <v/>
      </c>
      <c r="AB25" s="61">
        <f>IF(AND(tblTasks[[#This Row],[表示区分]]="今後",INT(N(tblTasks[[#This Row],[期限日]]))&lt;=RefDate+UpcomingDays,tblTasks[[#This Row],[担当一致]]=1),1,0)</f>
        <v>0</v>
      </c>
      <c r="AC25" s="61" t="str">
        <f>IF(tblTasks[[#This Row],[一覧4対象]]=1,COUNTIFS(tblTasks[一覧4対象],1,tblTasks[並びキー],"&lt;"&amp;tblTasks[[#This Row],[並びキー]])+1,"")</f>
        <v/>
      </c>
    </row>
    <row r="26">
      <c r="A26" s="49" t="n"/>
      <c r="B26" s="49" t="n"/>
      <c r="C26" s="50" t="str">
        <f>IF(tblTasks[[#This Row],[案件ID]]="","",IF(tblTasks[[#This Row],[案件行]]="","（未登録の案件ID）",INDEX(tblCases[顧客名],tblTasks[[#This Row],[案件行]])&amp;""))</f>
        <v/>
      </c>
      <c r="D26" s="50" t="str">
        <f>IF(tblTasks[[#This Row],[案件行]]="","",INDEX(tblCases[案件名],tblTasks[[#This Row],[案件行]])&amp;"")</f>
        <v/>
      </c>
      <c r="E26" s="52" t="n"/>
      <c r="F26" s="51" t="n"/>
      <c r="G26" s="65" t="n"/>
      <c r="H26" s="52" t="n"/>
      <c r="I26" s="52" t="n"/>
      <c r="J2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6" s="59" t="n"/>
      <c r="L26" s="51" t="n"/>
      <c r="M2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6" s="61" t="str">
        <f>IFERROR(VALUE(MID(tblTasks[[#This Row],[タスクID]],2,20)),"")</f>
        <v/>
      </c>
      <c r="O26" s="61" t="str">
        <f>tblTasks[[#This Row],[案件ID]]&amp;"|"&amp;tblTasks[[#This Row],[ID番号]]</f>
        <v>|</v>
      </c>
      <c r="P26" s="61" t="str">
        <f>IF(tblTasks[[#This Row],[案件ID]]="","",IFERROR(MATCH(tblTasks[[#This Row],[案件ID]],tblCases[案件ID],0),""))</f>
        <v/>
      </c>
      <c r="Q26" s="61">
        <f>IF(tblTasks[[#This Row],[案件行]]="",0,INDEX(tblCases[連絡停止],tblTasks[[#This Row],[案件行]]))</f>
        <v>0</v>
      </c>
      <c r="R26" s="61" t="str">
        <f>IF(tblTasks[[#This Row],[案件行]]="","",INDEX(tblCases[状態区分],tblTasks[[#This Row],[案件行]])&amp;"")</f>
        <v/>
      </c>
      <c r="S26" s="61">
        <f>IF(AND(tblTasks[[#This Row],[タスクID]]&lt;&gt;"",OR(tblTasks[[#This Row],[状態]]="未着手",tblTasks[[#This Row],[状態]]="対応中")),1,0)</f>
        <v>0</v>
      </c>
      <c r="T2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6" s="61">
        <f>IF(OR(HomeStaff="",HomeStaff="全員",HomeStaff=tblTasks[[#This Row],[担当者]]),1,0)</f>
        <v>1</v>
      </c>
      <c r="W26" s="61">
        <f>IF(ISNUMBER(tblTasks[[#This Row],[期限日]]),INT(tblTasks[[#This Row],[期限日]]),99999)*100000+N(tblTasks[[#This Row],[ID番号]])</f>
        <v>9999900000</v>
      </c>
      <c r="X26" s="61">
        <f>IF(AND(OR(tblTasks[[#This Row],[表示区分]]="期限超過",tblTasks[[#This Row],[表示区分]]="本日"),tblTasks[[#This Row],[担当一致]]=1),1,0)</f>
        <v>0</v>
      </c>
      <c r="Y26" s="61" t="str">
        <f>IF(tblTasks[[#This Row],[一覧1対象]]=1,COUNTIFS(tblTasks[一覧1対象],1,tblTasks[並びキー],"&lt;"&amp;tblTasks[[#This Row],[並びキー]])+1,"")</f>
        <v/>
      </c>
      <c r="Z2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6" s="61" t="str">
        <f>IF(tblTasks[[#This Row],[一覧3対象]]=1,COUNTIFS(tblTasks[一覧3対象],1,tblTasks[並びキー],"&lt;"&amp;tblTasks[[#This Row],[並びキー]])+1,"")</f>
        <v/>
      </c>
      <c r="AB26" s="61">
        <f>IF(AND(tblTasks[[#This Row],[表示区分]]="今後",INT(N(tblTasks[[#This Row],[期限日]]))&lt;=RefDate+UpcomingDays,tblTasks[[#This Row],[担当一致]]=1),1,0)</f>
        <v>0</v>
      </c>
      <c r="AC26" s="61" t="str">
        <f>IF(tblTasks[[#This Row],[一覧4対象]]=1,COUNTIFS(tblTasks[一覧4対象],1,tblTasks[並びキー],"&lt;"&amp;tblTasks[[#This Row],[並びキー]])+1,"")</f>
        <v/>
      </c>
    </row>
    <row r="27">
      <c r="A27" s="49" t="n"/>
      <c r="B27" s="49" t="n"/>
      <c r="C27" s="50" t="str">
        <f>IF(tblTasks[[#This Row],[案件ID]]="","",IF(tblTasks[[#This Row],[案件行]]="","（未登録の案件ID）",INDEX(tblCases[顧客名],tblTasks[[#This Row],[案件行]])&amp;""))</f>
        <v/>
      </c>
      <c r="D27" s="50" t="str">
        <f>IF(tblTasks[[#This Row],[案件行]]="","",INDEX(tblCases[案件名],tblTasks[[#This Row],[案件行]])&amp;"")</f>
        <v/>
      </c>
      <c r="E27" s="52" t="n"/>
      <c r="F27" s="51" t="n"/>
      <c r="G27" s="65" t="n"/>
      <c r="H27" s="52" t="n"/>
      <c r="I27" s="52" t="n"/>
      <c r="J2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7" s="59" t="n"/>
      <c r="L27" s="51" t="n"/>
      <c r="M2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7" s="61" t="str">
        <f>IFERROR(VALUE(MID(tblTasks[[#This Row],[タスクID]],2,20)),"")</f>
        <v/>
      </c>
      <c r="O27" s="61" t="str">
        <f>tblTasks[[#This Row],[案件ID]]&amp;"|"&amp;tblTasks[[#This Row],[ID番号]]</f>
        <v>|</v>
      </c>
      <c r="P27" s="61" t="str">
        <f>IF(tblTasks[[#This Row],[案件ID]]="","",IFERROR(MATCH(tblTasks[[#This Row],[案件ID]],tblCases[案件ID],0),""))</f>
        <v/>
      </c>
      <c r="Q27" s="61">
        <f>IF(tblTasks[[#This Row],[案件行]]="",0,INDEX(tblCases[連絡停止],tblTasks[[#This Row],[案件行]]))</f>
        <v>0</v>
      </c>
      <c r="R27" s="61" t="str">
        <f>IF(tblTasks[[#This Row],[案件行]]="","",INDEX(tblCases[状態区分],tblTasks[[#This Row],[案件行]])&amp;"")</f>
        <v/>
      </c>
      <c r="S27" s="61">
        <f>IF(AND(tblTasks[[#This Row],[タスクID]]&lt;&gt;"",OR(tblTasks[[#This Row],[状態]]="未着手",tblTasks[[#This Row],[状態]]="対応中")),1,0)</f>
        <v>0</v>
      </c>
      <c r="T2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7" s="61">
        <f>IF(OR(HomeStaff="",HomeStaff="全員",HomeStaff=tblTasks[[#This Row],[担当者]]),1,0)</f>
        <v>1</v>
      </c>
      <c r="W27" s="61">
        <f>IF(ISNUMBER(tblTasks[[#This Row],[期限日]]),INT(tblTasks[[#This Row],[期限日]]),99999)*100000+N(tblTasks[[#This Row],[ID番号]])</f>
        <v>9999900000</v>
      </c>
      <c r="X27" s="61">
        <f>IF(AND(OR(tblTasks[[#This Row],[表示区分]]="期限超過",tblTasks[[#This Row],[表示区分]]="本日"),tblTasks[[#This Row],[担当一致]]=1),1,0)</f>
        <v>0</v>
      </c>
      <c r="Y27" s="61" t="str">
        <f>IF(tblTasks[[#This Row],[一覧1対象]]=1,COUNTIFS(tblTasks[一覧1対象],1,tblTasks[並びキー],"&lt;"&amp;tblTasks[[#This Row],[並びキー]])+1,"")</f>
        <v/>
      </c>
      <c r="Z2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7" s="61" t="str">
        <f>IF(tblTasks[[#This Row],[一覧3対象]]=1,COUNTIFS(tblTasks[一覧3対象],1,tblTasks[並びキー],"&lt;"&amp;tblTasks[[#This Row],[並びキー]])+1,"")</f>
        <v/>
      </c>
      <c r="AB27" s="61">
        <f>IF(AND(tblTasks[[#This Row],[表示区分]]="今後",INT(N(tblTasks[[#This Row],[期限日]]))&lt;=RefDate+UpcomingDays,tblTasks[[#This Row],[担当一致]]=1),1,0)</f>
        <v>0</v>
      </c>
      <c r="AC27" s="61" t="str">
        <f>IF(tblTasks[[#This Row],[一覧4対象]]=1,COUNTIFS(tblTasks[一覧4対象],1,tblTasks[並びキー],"&lt;"&amp;tblTasks[[#This Row],[並びキー]])+1,"")</f>
        <v/>
      </c>
    </row>
    <row r="28">
      <c r="A28" s="49" t="n"/>
      <c r="B28" s="49" t="n"/>
      <c r="C28" s="50" t="str">
        <f>IF(tblTasks[[#This Row],[案件ID]]="","",IF(tblTasks[[#This Row],[案件行]]="","（未登録の案件ID）",INDEX(tblCases[顧客名],tblTasks[[#This Row],[案件行]])&amp;""))</f>
        <v/>
      </c>
      <c r="D28" s="50" t="str">
        <f>IF(tblTasks[[#This Row],[案件行]]="","",INDEX(tblCases[案件名],tblTasks[[#This Row],[案件行]])&amp;"")</f>
        <v/>
      </c>
      <c r="E28" s="52" t="n"/>
      <c r="F28" s="51" t="n"/>
      <c r="G28" s="65" t="n"/>
      <c r="H28" s="52" t="n"/>
      <c r="I28" s="52" t="n"/>
      <c r="J2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8" s="59" t="n"/>
      <c r="L28" s="51" t="n"/>
      <c r="M2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8" s="61" t="str">
        <f>IFERROR(VALUE(MID(tblTasks[[#This Row],[タスクID]],2,20)),"")</f>
        <v/>
      </c>
      <c r="O28" s="61" t="str">
        <f>tblTasks[[#This Row],[案件ID]]&amp;"|"&amp;tblTasks[[#This Row],[ID番号]]</f>
        <v>|</v>
      </c>
      <c r="P28" s="61" t="str">
        <f>IF(tblTasks[[#This Row],[案件ID]]="","",IFERROR(MATCH(tblTasks[[#This Row],[案件ID]],tblCases[案件ID],0),""))</f>
        <v/>
      </c>
      <c r="Q28" s="61">
        <f>IF(tblTasks[[#This Row],[案件行]]="",0,INDEX(tblCases[連絡停止],tblTasks[[#This Row],[案件行]]))</f>
        <v>0</v>
      </c>
      <c r="R28" s="61" t="str">
        <f>IF(tblTasks[[#This Row],[案件行]]="","",INDEX(tblCases[状態区分],tblTasks[[#This Row],[案件行]])&amp;"")</f>
        <v/>
      </c>
      <c r="S28" s="61">
        <f>IF(AND(tblTasks[[#This Row],[タスクID]]&lt;&gt;"",OR(tblTasks[[#This Row],[状態]]="未着手",tblTasks[[#This Row],[状態]]="対応中")),1,0)</f>
        <v>0</v>
      </c>
      <c r="T2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8" s="61">
        <f>IF(OR(HomeStaff="",HomeStaff="全員",HomeStaff=tblTasks[[#This Row],[担当者]]),1,0)</f>
        <v>1</v>
      </c>
      <c r="W28" s="61">
        <f>IF(ISNUMBER(tblTasks[[#This Row],[期限日]]),INT(tblTasks[[#This Row],[期限日]]),99999)*100000+N(tblTasks[[#This Row],[ID番号]])</f>
        <v>9999900000</v>
      </c>
      <c r="X28" s="61">
        <f>IF(AND(OR(tblTasks[[#This Row],[表示区分]]="期限超過",tblTasks[[#This Row],[表示区分]]="本日"),tblTasks[[#This Row],[担当一致]]=1),1,0)</f>
        <v>0</v>
      </c>
      <c r="Y28" s="61" t="str">
        <f>IF(tblTasks[[#This Row],[一覧1対象]]=1,COUNTIFS(tblTasks[一覧1対象],1,tblTasks[並びキー],"&lt;"&amp;tblTasks[[#This Row],[並びキー]])+1,"")</f>
        <v/>
      </c>
      <c r="Z2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8" s="61" t="str">
        <f>IF(tblTasks[[#This Row],[一覧3対象]]=1,COUNTIFS(tblTasks[一覧3対象],1,tblTasks[並びキー],"&lt;"&amp;tblTasks[[#This Row],[並びキー]])+1,"")</f>
        <v/>
      </c>
      <c r="AB28" s="61">
        <f>IF(AND(tblTasks[[#This Row],[表示区分]]="今後",INT(N(tblTasks[[#This Row],[期限日]]))&lt;=RefDate+UpcomingDays,tblTasks[[#This Row],[担当一致]]=1),1,0)</f>
        <v>0</v>
      </c>
      <c r="AC28" s="61" t="str">
        <f>IF(tblTasks[[#This Row],[一覧4対象]]=1,COUNTIFS(tblTasks[一覧4対象],1,tblTasks[並びキー],"&lt;"&amp;tblTasks[[#This Row],[並びキー]])+1,"")</f>
        <v/>
      </c>
    </row>
    <row r="29">
      <c r="A29" s="49" t="n"/>
      <c r="B29" s="49" t="n"/>
      <c r="C29" s="50" t="str">
        <f>IF(tblTasks[[#This Row],[案件ID]]="","",IF(tblTasks[[#This Row],[案件行]]="","（未登録の案件ID）",INDEX(tblCases[顧客名],tblTasks[[#This Row],[案件行]])&amp;""))</f>
        <v/>
      </c>
      <c r="D29" s="50" t="str">
        <f>IF(tblTasks[[#This Row],[案件行]]="","",INDEX(tblCases[案件名],tblTasks[[#This Row],[案件行]])&amp;"")</f>
        <v/>
      </c>
      <c r="E29" s="52" t="n"/>
      <c r="F29" s="51" t="n"/>
      <c r="G29" s="65" t="n"/>
      <c r="H29" s="52" t="n"/>
      <c r="I29" s="52" t="n"/>
      <c r="J2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29" s="59" t="n"/>
      <c r="L29" s="51" t="n"/>
      <c r="M2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29" s="61" t="str">
        <f>IFERROR(VALUE(MID(tblTasks[[#This Row],[タスクID]],2,20)),"")</f>
        <v/>
      </c>
      <c r="O29" s="61" t="str">
        <f>tblTasks[[#This Row],[案件ID]]&amp;"|"&amp;tblTasks[[#This Row],[ID番号]]</f>
        <v>|</v>
      </c>
      <c r="P29" s="61" t="str">
        <f>IF(tblTasks[[#This Row],[案件ID]]="","",IFERROR(MATCH(tblTasks[[#This Row],[案件ID]],tblCases[案件ID],0),""))</f>
        <v/>
      </c>
      <c r="Q29" s="61">
        <f>IF(tblTasks[[#This Row],[案件行]]="",0,INDEX(tblCases[連絡停止],tblTasks[[#This Row],[案件行]]))</f>
        <v>0</v>
      </c>
      <c r="R29" s="61" t="str">
        <f>IF(tblTasks[[#This Row],[案件行]]="","",INDEX(tblCases[状態区分],tblTasks[[#This Row],[案件行]])&amp;"")</f>
        <v/>
      </c>
      <c r="S29" s="61">
        <f>IF(AND(tblTasks[[#This Row],[タスクID]]&lt;&gt;"",OR(tblTasks[[#This Row],[状態]]="未着手",tblTasks[[#This Row],[状態]]="対応中")),1,0)</f>
        <v>0</v>
      </c>
      <c r="T2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2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29" s="61">
        <f>IF(OR(HomeStaff="",HomeStaff="全員",HomeStaff=tblTasks[[#This Row],[担当者]]),1,0)</f>
        <v>1</v>
      </c>
      <c r="W29" s="61">
        <f>IF(ISNUMBER(tblTasks[[#This Row],[期限日]]),INT(tblTasks[[#This Row],[期限日]]),99999)*100000+N(tblTasks[[#This Row],[ID番号]])</f>
        <v>9999900000</v>
      </c>
      <c r="X29" s="61">
        <f>IF(AND(OR(tblTasks[[#This Row],[表示区分]]="期限超過",tblTasks[[#This Row],[表示区分]]="本日"),tblTasks[[#This Row],[担当一致]]=1),1,0)</f>
        <v>0</v>
      </c>
      <c r="Y29" s="61" t="str">
        <f>IF(tblTasks[[#This Row],[一覧1対象]]=1,COUNTIFS(tblTasks[一覧1対象],1,tblTasks[並びキー],"&lt;"&amp;tblTasks[[#This Row],[並びキー]])+1,"")</f>
        <v/>
      </c>
      <c r="Z2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29" s="61" t="str">
        <f>IF(tblTasks[[#This Row],[一覧3対象]]=1,COUNTIFS(tblTasks[一覧3対象],1,tblTasks[並びキー],"&lt;"&amp;tblTasks[[#This Row],[並びキー]])+1,"")</f>
        <v/>
      </c>
      <c r="AB29" s="61">
        <f>IF(AND(tblTasks[[#This Row],[表示区分]]="今後",INT(N(tblTasks[[#This Row],[期限日]]))&lt;=RefDate+UpcomingDays,tblTasks[[#This Row],[担当一致]]=1),1,0)</f>
        <v>0</v>
      </c>
      <c r="AC29" s="61" t="str">
        <f>IF(tblTasks[[#This Row],[一覧4対象]]=1,COUNTIFS(tblTasks[一覧4対象],1,tblTasks[並びキー],"&lt;"&amp;tblTasks[[#This Row],[並びキー]])+1,"")</f>
        <v/>
      </c>
    </row>
    <row r="30">
      <c r="A30" s="49" t="n"/>
      <c r="B30" s="49" t="n"/>
      <c r="C30" s="50" t="str">
        <f>IF(tblTasks[[#This Row],[案件ID]]="","",IF(tblTasks[[#This Row],[案件行]]="","（未登録の案件ID）",INDEX(tblCases[顧客名],tblTasks[[#This Row],[案件行]])&amp;""))</f>
        <v/>
      </c>
      <c r="D30" s="50" t="str">
        <f>IF(tblTasks[[#This Row],[案件行]]="","",INDEX(tblCases[案件名],tblTasks[[#This Row],[案件行]])&amp;"")</f>
        <v/>
      </c>
      <c r="E30" s="52" t="n"/>
      <c r="F30" s="51" t="n"/>
      <c r="G30" s="65" t="n"/>
      <c r="H30" s="52" t="n"/>
      <c r="I30" s="52" t="n"/>
      <c r="J3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0" s="59" t="n"/>
      <c r="L30" s="51" t="n"/>
      <c r="M3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0" s="61" t="str">
        <f>IFERROR(VALUE(MID(tblTasks[[#This Row],[タスクID]],2,20)),"")</f>
        <v/>
      </c>
      <c r="O30" s="61" t="str">
        <f>tblTasks[[#This Row],[案件ID]]&amp;"|"&amp;tblTasks[[#This Row],[ID番号]]</f>
        <v>|</v>
      </c>
      <c r="P30" s="61" t="str">
        <f>IF(tblTasks[[#This Row],[案件ID]]="","",IFERROR(MATCH(tblTasks[[#This Row],[案件ID]],tblCases[案件ID],0),""))</f>
        <v/>
      </c>
      <c r="Q30" s="61">
        <f>IF(tblTasks[[#This Row],[案件行]]="",0,INDEX(tblCases[連絡停止],tblTasks[[#This Row],[案件行]]))</f>
        <v>0</v>
      </c>
      <c r="R30" s="61" t="str">
        <f>IF(tblTasks[[#This Row],[案件行]]="","",INDEX(tblCases[状態区分],tblTasks[[#This Row],[案件行]])&amp;"")</f>
        <v/>
      </c>
      <c r="S30" s="61">
        <f>IF(AND(tblTasks[[#This Row],[タスクID]]&lt;&gt;"",OR(tblTasks[[#This Row],[状態]]="未着手",tblTasks[[#This Row],[状態]]="対応中")),1,0)</f>
        <v>0</v>
      </c>
      <c r="T3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0" s="61">
        <f>IF(OR(HomeStaff="",HomeStaff="全員",HomeStaff=tblTasks[[#This Row],[担当者]]),1,0)</f>
        <v>1</v>
      </c>
      <c r="W30" s="61">
        <f>IF(ISNUMBER(tblTasks[[#This Row],[期限日]]),INT(tblTasks[[#This Row],[期限日]]),99999)*100000+N(tblTasks[[#This Row],[ID番号]])</f>
        <v>9999900000</v>
      </c>
      <c r="X30" s="61">
        <f>IF(AND(OR(tblTasks[[#This Row],[表示区分]]="期限超過",tblTasks[[#This Row],[表示区分]]="本日"),tblTasks[[#This Row],[担当一致]]=1),1,0)</f>
        <v>0</v>
      </c>
      <c r="Y30" s="61" t="str">
        <f>IF(tblTasks[[#This Row],[一覧1対象]]=1,COUNTIFS(tblTasks[一覧1対象],1,tblTasks[並びキー],"&lt;"&amp;tblTasks[[#This Row],[並びキー]])+1,"")</f>
        <v/>
      </c>
      <c r="Z3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0" s="61" t="str">
        <f>IF(tblTasks[[#This Row],[一覧3対象]]=1,COUNTIFS(tblTasks[一覧3対象],1,tblTasks[並びキー],"&lt;"&amp;tblTasks[[#This Row],[並びキー]])+1,"")</f>
        <v/>
      </c>
      <c r="AB30" s="61">
        <f>IF(AND(tblTasks[[#This Row],[表示区分]]="今後",INT(N(tblTasks[[#This Row],[期限日]]))&lt;=RefDate+UpcomingDays,tblTasks[[#This Row],[担当一致]]=1),1,0)</f>
        <v>0</v>
      </c>
      <c r="AC30" s="61" t="str">
        <f>IF(tblTasks[[#This Row],[一覧4対象]]=1,COUNTIFS(tblTasks[一覧4対象],1,tblTasks[並びキー],"&lt;"&amp;tblTasks[[#This Row],[並びキー]])+1,"")</f>
        <v/>
      </c>
    </row>
    <row r="31">
      <c r="A31" s="49" t="n"/>
      <c r="B31" s="49" t="n"/>
      <c r="C31" s="50" t="str">
        <f>IF(tblTasks[[#This Row],[案件ID]]="","",IF(tblTasks[[#This Row],[案件行]]="","（未登録の案件ID）",INDEX(tblCases[顧客名],tblTasks[[#This Row],[案件行]])&amp;""))</f>
        <v/>
      </c>
      <c r="D31" s="50" t="str">
        <f>IF(tblTasks[[#This Row],[案件行]]="","",INDEX(tblCases[案件名],tblTasks[[#This Row],[案件行]])&amp;"")</f>
        <v/>
      </c>
      <c r="E31" s="52" t="n"/>
      <c r="F31" s="51" t="n"/>
      <c r="G31" s="65" t="n"/>
      <c r="H31" s="52" t="n"/>
      <c r="I31" s="52" t="n"/>
      <c r="J3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1" s="59" t="n"/>
      <c r="L31" s="51" t="n"/>
      <c r="M3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1" s="61" t="str">
        <f>IFERROR(VALUE(MID(tblTasks[[#This Row],[タスクID]],2,20)),"")</f>
        <v/>
      </c>
      <c r="O31" s="61" t="str">
        <f>tblTasks[[#This Row],[案件ID]]&amp;"|"&amp;tblTasks[[#This Row],[ID番号]]</f>
        <v>|</v>
      </c>
      <c r="P31" s="61" t="str">
        <f>IF(tblTasks[[#This Row],[案件ID]]="","",IFERROR(MATCH(tblTasks[[#This Row],[案件ID]],tblCases[案件ID],0),""))</f>
        <v/>
      </c>
      <c r="Q31" s="61">
        <f>IF(tblTasks[[#This Row],[案件行]]="",0,INDEX(tblCases[連絡停止],tblTasks[[#This Row],[案件行]]))</f>
        <v>0</v>
      </c>
      <c r="R31" s="61" t="str">
        <f>IF(tblTasks[[#This Row],[案件行]]="","",INDEX(tblCases[状態区分],tblTasks[[#This Row],[案件行]])&amp;"")</f>
        <v/>
      </c>
      <c r="S31" s="61">
        <f>IF(AND(tblTasks[[#This Row],[タスクID]]&lt;&gt;"",OR(tblTasks[[#This Row],[状態]]="未着手",tblTasks[[#This Row],[状態]]="対応中")),1,0)</f>
        <v>0</v>
      </c>
      <c r="T3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1" s="61">
        <f>IF(OR(HomeStaff="",HomeStaff="全員",HomeStaff=tblTasks[[#This Row],[担当者]]),1,0)</f>
        <v>1</v>
      </c>
      <c r="W31" s="61">
        <f>IF(ISNUMBER(tblTasks[[#This Row],[期限日]]),INT(tblTasks[[#This Row],[期限日]]),99999)*100000+N(tblTasks[[#This Row],[ID番号]])</f>
        <v>9999900000</v>
      </c>
      <c r="X31" s="61">
        <f>IF(AND(OR(tblTasks[[#This Row],[表示区分]]="期限超過",tblTasks[[#This Row],[表示区分]]="本日"),tblTasks[[#This Row],[担当一致]]=1),1,0)</f>
        <v>0</v>
      </c>
      <c r="Y31" s="61" t="str">
        <f>IF(tblTasks[[#This Row],[一覧1対象]]=1,COUNTIFS(tblTasks[一覧1対象],1,tblTasks[並びキー],"&lt;"&amp;tblTasks[[#This Row],[並びキー]])+1,"")</f>
        <v/>
      </c>
      <c r="Z3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1" s="61" t="str">
        <f>IF(tblTasks[[#This Row],[一覧3対象]]=1,COUNTIFS(tblTasks[一覧3対象],1,tblTasks[並びキー],"&lt;"&amp;tblTasks[[#This Row],[並びキー]])+1,"")</f>
        <v/>
      </c>
      <c r="AB31" s="61">
        <f>IF(AND(tblTasks[[#This Row],[表示区分]]="今後",INT(N(tblTasks[[#This Row],[期限日]]))&lt;=RefDate+UpcomingDays,tblTasks[[#This Row],[担当一致]]=1),1,0)</f>
        <v>0</v>
      </c>
      <c r="AC31" s="61" t="str">
        <f>IF(tblTasks[[#This Row],[一覧4対象]]=1,COUNTIFS(tblTasks[一覧4対象],1,tblTasks[並びキー],"&lt;"&amp;tblTasks[[#This Row],[並びキー]])+1,"")</f>
        <v/>
      </c>
    </row>
    <row r="32">
      <c r="A32" s="49" t="n"/>
      <c r="B32" s="49" t="n"/>
      <c r="C32" s="50" t="str">
        <f>IF(tblTasks[[#This Row],[案件ID]]="","",IF(tblTasks[[#This Row],[案件行]]="","（未登録の案件ID）",INDEX(tblCases[顧客名],tblTasks[[#This Row],[案件行]])&amp;""))</f>
        <v/>
      </c>
      <c r="D32" s="50" t="str">
        <f>IF(tblTasks[[#This Row],[案件行]]="","",INDEX(tblCases[案件名],tblTasks[[#This Row],[案件行]])&amp;"")</f>
        <v/>
      </c>
      <c r="E32" s="52" t="n"/>
      <c r="F32" s="51" t="n"/>
      <c r="G32" s="65" t="n"/>
      <c r="H32" s="52" t="n"/>
      <c r="I32" s="52" t="n"/>
      <c r="J3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2" s="59" t="n"/>
      <c r="L32" s="51" t="n"/>
      <c r="M3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2" s="61" t="str">
        <f>IFERROR(VALUE(MID(tblTasks[[#This Row],[タスクID]],2,20)),"")</f>
        <v/>
      </c>
      <c r="O32" s="61" t="str">
        <f>tblTasks[[#This Row],[案件ID]]&amp;"|"&amp;tblTasks[[#This Row],[ID番号]]</f>
        <v>|</v>
      </c>
      <c r="P32" s="61" t="str">
        <f>IF(tblTasks[[#This Row],[案件ID]]="","",IFERROR(MATCH(tblTasks[[#This Row],[案件ID]],tblCases[案件ID],0),""))</f>
        <v/>
      </c>
      <c r="Q32" s="61">
        <f>IF(tblTasks[[#This Row],[案件行]]="",0,INDEX(tblCases[連絡停止],tblTasks[[#This Row],[案件行]]))</f>
        <v>0</v>
      </c>
      <c r="R32" s="61" t="str">
        <f>IF(tblTasks[[#This Row],[案件行]]="","",INDEX(tblCases[状態区分],tblTasks[[#This Row],[案件行]])&amp;"")</f>
        <v/>
      </c>
      <c r="S32" s="61">
        <f>IF(AND(tblTasks[[#This Row],[タスクID]]&lt;&gt;"",OR(tblTasks[[#This Row],[状態]]="未着手",tblTasks[[#This Row],[状態]]="対応中")),1,0)</f>
        <v>0</v>
      </c>
      <c r="T3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2" s="61">
        <f>IF(OR(HomeStaff="",HomeStaff="全員",HomeStaff=tblTasks[[#This Row],[担当者]]),1,0)</f>
        <v>1</v>
      </c>
      <c r="W32" s="61">
        <f>IF(ISNUMBER(tblTasks[[#This Row],[期限日]]),INT(tblTasks[[#This Row],[期限日]]),99999)*100000+N(tblTasks[[#This Row],[ID番号]])</f>
        <v>9999900000</v>
      </c>
      <c r="X32" s="61">
        <f>IF(AND(OR(tblTasks[[#This Row],[表示区分]]="期限超過",tblTasks[[#This Row],[表示区分]]="本日"),tblTasks[[#This Row],[担当一致]]=1),1,0)</f>
        <v>0</v>
      </c>
      <c r="Y32" s="61" t="str">
        <f>IF(tblTasks[[#This Row],[一覧1対象]]=1,COUNTIFS(tblTasks[一覧1対象],1,tblTasks[並びキー],"&lt;"&amp;tblTasks[[#This Row],[並びキー]])+1,"")</f>
        <v/>
      </c>
      <c r="Z3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2" s="61" t="str">
        <f>IF(tblTasks[[#This Row],[一覧3対象]]=1,COUNTIFS(tblTasks[一覧3対象],1,tblTasks[並びキー],"&lt;"&amp;tblTasks[[#This Row],[並びキー]])+1,"")</f>
        <v/>
      </c>
      <c r="AB32" s="61">
        <f>IF(AND(tblTasks[[#This Row],[表示区分]]="今後",INT(N(tblTasks[[#This Row],[期限日]]))&lt;=RefDate+UpcomingDays,tblTasks[[#This Row],[担当一致]]=1),1,0)</f>
        <v>0</v>
      </c>
      <c r="AC32" s="61" t="str">
        <f>IF(tblTasks[[#This Row],[一覧4対象]]=1,COUNTIFS(tblTasks[一覧4対象],1,tblTasks[並びキー],"&lt;"&amp;tblTasks[[#This Row],[並びキー]])+1,"")</f>
        <v/>
      </c>
    </row>
    <row r="33">
      <c r="A33" s="49" t="n"/>
      <c r="B33" s="49" t="n"/>
      <c r="C33" s="50" t="str">
        <f>IF(tblTasks[[#This Row],[案件ID]]="","",IF(tblTasks[[#This Row],[案件行]]="","（未登録の案件ID）",INDEX(tblCases[顧客名],tblTasks[[#This Row],[案件行]])&amp;""))</f>
        <v/>
      </c>
      <c r="D33" s="50" t="str">
        <f>IF(tblTasks[[#This Row],[案件行]]="","",INDEX(tblCases[案件名],tblTasks[[#This Row],[案件行]])&amp;"")</f>
        <v/>
      </c>
      <c r="E33" s="52" t="n"/>
      <c r="F33" s="51" t="n"/>
      <c r="G33" s="65" t="n"/>
      <c r="H33" s="52" t="n"/>
      <c r="I33" s="52" t="n"/>
      <c r="J3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3" s="59" t="n"/>
      <c r="L33" s="51" t="n"/>
      <c r="M3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3" s="61" t="str">
        <f>IFERROR(VALUE(MID(tblTasks[[#This Row],[タスクID]],2,20)),"")</f>
        <v/>
      </c>
      <c r="O33" s="61" t="str">
        <f>tblTasks[[#This Row],[案件ID]]&amp;"|"&amp;tblTasks[[#This Row],[ID番号]]</f>
        <v>|</v>
      </c>
      <c r="P33" s="61" t="str">
        <f>IF(tblTasks[[#This Row],[案件ID]]="","",IFERROR(MATCH(tblTasks[[#This Row],[案件ID]],tblCases[案件ID],0),""))</f>
        <v/>
      </c>
      <c r="Q33" s="61">
        <f>IF(tblTasks[[#This Row],[案件行]]="",0,INDEX(tblCases[連絡停止],tblTasks[[#This Row],[案件行]]))</f>
        <v>0</v>
      </c>
      <c r="R33" s="61" t="str">
        <f>IF(tblTasks[[#This Row],[案件行]]="","",INDEX(tblCases[状態区分],tblTasks[[#This Row],[案件行]])&amp;"")</f>
        <v/>
      </c>
      <c r="S33" s="61">
        <f>IF(AND(tblTasks[[#This Row],[タスクID]]&lt;&gt;"",OR(tblTasks[[#This Row],[状態]]="未着手",tblTasks[[#This Row],[状態]]="対応中")),1,0)</f>
        <v>0</v>
      </c>
      <c r="T3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3" s="61">
        <f>IF(OR(HomeStaff="",HomeStaff="全員",HomeStaff=tblTasks[[#This Row],[担当者]]),1,0)</f>
        <v>1</v>
      </c>
      <c r="W33" s="61">
        <f>IF(ISNUMBER(tblTasks[[#This Row],[期限日]]),INT(tblTasks[[#This Row],[期限日]]),99999)*100000+N(tblTasks[[#This Row],[ID番号]])</f>
        <v>9999900000</v>
      </c>
      <c r="X33" s="61">
        <f>IF(AND(OR(tblTasks[[#This Row],[表示区分]]="期限超過",tblTasks[[#This Row],[表示区分]]="本日"),tblTasks[[#This Row],[担当一致]]=1),1,0)</f>
        <v>0</v>
      </c>
      <c r="Y33" s="61" t="str">
        <f>IF(tblTasks[[#This Row],[一覧1対象]]=1,COUNTIFS(tblTasks[一覧1対象],1,tblTasks[並びキー],"&lt;"&amp;tblTasks[[#This Row],[並びキー]])+1,"")</f>
        <v/>
      </c>
      <c r="Z3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3" s="61" t="str">
        <f>IF(tblTasks[[#This Row],[一覧3対象]]=1,COUNTIFS(tblTasks[一覧3対象],1,tblTasks[並びキー],"&lt;"&amp;tblTasks[[#This Row],[並びキー]])+1,"")</f>
        <v/>
      </c>
      <c r="AB33" s="61">
        <f>IF(AND(tblTasks[[#This Row],[表示区分]]="今後",INT(N(tblTasks[[#This Row],[期限日]]))&lt;=RefDate+UpcomingDays,tblTasks[[#This Row],[担当一致]]=1),1,0)</f>
        <v>0</v>
      </c>
      <c r="AC33" s="61" t="str">
        <f>IF(tblTasks[[#This Row],[一覧4対象]]=1,COUNTIFS(tblTasks[一覧4対象],1,tblTasks[並びキー],"&lt;"&amp;tblTasks[[#This Row],[並びキー]])+1,"")</f>
        <v/>
      </c>
    </row>
    <row r="34">
      <c r="A34" s="49" t="n"/>
      <c r="B34" s="49" t="n"/>
      <c r="C34" s="50" t="str">
        <f>IF(tblTasks[[#This Row],[案件ID]]="","",IF(tblTasks[[#This Row],[案件行]]="","（未登録の案件ID）",INDEX(tblCases[顧客名],tblTasks[[#This Row],[案件行]])&amp;""))</f>
        <v/>
      </c>
      <c r="D34" s="50" t="str">
        <f>IF(tblTasks[[#This Row],[案件行]]="","",INDEX(tblCases[案件名],tblTasks[[#This Row],[案件行]])&amp;"")</f>
        <v/>
      </c>
      <c r="E34" s="52" t="n"/>
      <c r="F34" s="51" t="n"/>
      <c r="G34" s="65" t="n"/>
      <c r="H34" s="52" t="n"/>
      <c r="I34" s="52" t="n"/>
      <c r="J3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4" s="59" t="n"/>
      <c r="L34" s="51" t="n"/>
      <c r="M3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4" s="61" t="str">
        <f>IFERROR(VALUE(MID(tblTasks[[#This Row],[タスクID]],2,20)),"")</f>
        <v/>
      </c>
      <c r="O34" s="61" t="str">
        <f>tblTasks[[#This Row],[案件ID]]&amp;"|"&amp;tblTasks[[#This Row],[ID番号]]</f>
        <v>|</v>
      </c>
      <c r="P34" s="61" t="str">
        <f>IF(tblTasks[[#This Row],[案件ID]]="","",IFERROR(MATCH(tblTasks[[#This Row],[案件ID]],tblCases[案件ID],0),""))</f>
        <v/>
      </c>
      <c r="Q34" s="61">
        <f>IF(tblTasks[[#This Row],[案件行]]="",0,INDEX(tblCases[連絡停止],tblTasks[[#This Row],[案件行]]))</f>
        <v>0</v>
      </c>
      <c r="R34" s="61" t="str">
        <f>IF(tblTasks[[#This Row],[案件行]]="","",INDEX(tblCases[状態区分],tblTasks[[#This Row],[案件行]])&amp;"")</f>
        <v/>
      </c>
      <c r="S34" s="61">
        <f>IF(AND(tblTasks[[#This Row],[タスクID]]&lt;&gt;"",OR(tblTasks[[#This Row],[状態]]="未着手",tblTasks[[#This Row],[状態]]="対応中")),1,0)</f>
        <v>0</v>
      </c>
      <c r="T3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4" s="61">
        <f>IF(OR(HomeStaff="",HomeStaff="全員",HomeStaff=tblTasks[[#This Row],[担当者]]),1,0)</f>
        <v>1</v>
      </c>
      <c r="W34" s="61">
        <f>IF(ISNUMBER(tblTasks[[#This Row],[期限日]]),INT(tblTasks[[#This Row],[期限日]]),99999)*100000+N(tblTasks[[#This Row],[ID番号]])</f>
        <v>9999900000</v>
      </c>
      <c r="X34" s="61">
        <f>IF(AND(OR(tblTasks[[#This Row],[表示区分]]="期限超過",tblTasks[[#This Row],[表示区分]]="本日"),tblTasks[[#This Row],[担当一致]]=1),1,0)</f>
        <v>0</v>
      </c>
      <c r="Y34" s="61" t="str">
        <f>IF(tblTasks[[#This Row],[一覧1対象]]=1,COUNTIFS(tblTasks[一覧1対象],1,tblTasks[並びキー],"&lt;"&amp;tblTasks[[#This Row],[並びキー]])+1,"")</f>
        <v/>
      </c>
      <c r="Z3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4" s="61" t="str">
        <f>IF(tblTasks[[#This Row],[一覧3対象]]=1,COUNTIFS(tblTasks[一覧3対象],1,tblTasks[並びキー],"&lt;"&amp;tblTasks[[#This Row],[並びキー]])+1,"")</f>
        <v/>
      </c>
      <c r="AB34" s="61">
        <f>IF(AND(tblTasks[[#This Row],[表示区分]]="今後",INT(N(tblTasks[[#This Row],[期限日]]))&lt;=RefDate+UpcomingDays,tblTasks[[#This Row],[担当一致]]=1),1,0)</f>
        <v>0</v>
      </c>
      <c r="AC34" s="61" t="str">
        <f>IF(tblTasks[[#This Row],[一覧4対象]]=1,COUNTIFS(tblTasks[一覧4対象],1,tblTasks[並びキー],"&lt;"&amp;tblTasks[[#This Row],[並びキー]])+1,"")</f>
        <v/>
      </c>
    </row>
    <row r="35">
      <c r="A35" s="49" t="n"/>
      <c r="B35" s="49" t="n"/>
      <c r="C35" s="50" t="str">
        <f>IF(tblTasks[[#This Row],[案件ID]]="","",IF(tblTasks[[#This Row],[案件行]]="","（未登録の案件ID）",INDEX(tblCases[顧客名],tblTasks[[#This Row],[案件行]])&amp;""))</f>
        <v/>
      </c>
      <c r="D35" s="50" t="str">
        <f>IF(tblTasks[[#This Row],[案件行]]="","",INDEX(tblCases[案件名],tblTasks[[#This Row],[案件行]])&amp;"")</f>
        <v/>
      </c>
      <c r="E35" s="52" t="n"/>
      <c r="F35" s="51" t="n"/>
      <c r="G35" s="65" t="n"/>
      <c r="H35" s="52" t="n"/>
      <c r="I35" s="52" t="n"/>
      <c r="J3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5" s="59" t="n"/>
      <c r="L35" s="51" t="n"/>
      <c r="M3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5" s="61" t="str">
        <f>IFERROR(VALUE(MID(tblTasks[[#This Row],[タスクID]],2,20)),"")</f>
        <v/>
      </c>
      <c r="O35" s="61" t="str">
        <f>tblTasks[[#This Row],[案件ID]]&amp;"|"&amp;tblTasks[[#This Row],[ID番号]]</f>
        <v>|</v>
      </c>
      <c r="P35" s="61" t="str">
        <f>IF(tblTasks[[#This Row],[案件ID]]="","",IFERROR(MATCH(tblTasks[[#This Row],[案件ID]],tblCases[案件ID],0),""))</f>
        <v/>
      </c>
      <c r="Q35" s="61">
        <f>IF(tblTasks[[#This Row],[案件行]]="",0,INDEX(tblCases[連絡停止],tblTasks[[#This Row],[案件行]]))</f>
        <v>0</v>
      </c>
      <c r="R35" s="61" t="str">
        <f>IF(tblTasks[[#This Row],[案件行]]="","",INDEX(tblCases[状態区分],tblTasks[[#This Row],[案件行]])&amp;"")</f>
        <v/>
      </c>
      <c r="S35" s="61">
        <f>IF(AND(tblTasks[[#This Row],[タスクID]]&lt;&gt;"",OR(tblTasks[[#This Row],[状態]]="未着手",tblTasks[[#This Row],[状態]]="対応中")),1,0)</f>
        <v>0</v>
      </c>
      <c r="T3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5" s="61">
        <f>IF(OR(HomeStaff="",HomeStaff="全員",HomeStaff=tblTasks[[#This Row],[担当者]]),1,0)</f>
        <v>1</v>
      </c>
      <c r="W35" s="61">
        <f>IF(ISNUMBER(tblTasks[[#This Row],[期限日]]),INT(tblTasks[[#This Row],[期限日]]),99999)*100000+N(tblTasks[[#This Row],[ID番号]])</f>
        <v>9999900000</v>
      </c>
      <c r="X35" s="61">
        <f>IF(AND(OR(tblTasks[[#This Row],[表示区分]]="期限超過",tblTasks[[#This Row],[表示区分]]="本日"),tblTasks[[#This Row],[担当一致]]=1),1,0)</f>
        <v>0</v>
      </c>
      <c r="Y35" s="61" t="str">
        <f>IF(tblTasks[[#This Row],[一覧1対象]]=1,COUNTIFS(tblTasks[一覧1対象],1,tblTasks[並びキー],"&lt;"&amp;tblTasks[[#This Row],[並びキー]])+1,"")</f>
        <v/>
      </c>
      <c r="Z3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5" s="61" t="str">
        <f>IF(tblTasks[[#This Row],[一覧3対象]]=1,COUNTIFS(tblTasks[一覧3対象],1,tblTasks[並びキー],"&lt;"&amp;tblTasks[[#This Row],[並びキー]])+1,"")</f>
        <v/>
      </c>
      <c r="AB35" s="61">
        <f>IF(AND(tblTasks[[#This Row],[表示区分]]="今後",INT(N(tblTasks[[#This Row],[期限日]]))&lt;=RefDate+UpcomingDays,tblTasks[[#This Row],[担当一致]]=1),1,0)</f>
        <v>0</v>
      </c>
      <c r="AC35" s="61" t="str">
        <f>IF(tblTasks[[#This Row],[一覧4対象]]=1,COUNTIFS(tblTasks[一覧4対象],1,tblTasks[並びキー],"&lt;"&amp;tblTasks[[#This Row],[並びキー]])+1,"")</f>
        <v/>
      </c>
    </row>
    <row r="36">
      <c r="A36" s="49" t="n"/>
      <c r="B36" s="49" t="n"/>
      <c r="C36" s="50" t="str">
        <f>IF(tblTasks[[#This Row],[案件ID]]="","",IF(tblTasks[[#This Row],[案件行]]="","（未登録の案件ID）",INDEX(tblCases[顧客名],tblTasks[[#This Row],[案件行]])&amp;""))</f>
        <v/>
      </c>
      <c r="D36" s="50" t="str">
        <f>IF(tblTasks[[#This Row],[案件行]]="","",INDEX(tblCases[案件名],tblTasks[[#This Row],[案件行]])&amp;"")</f>
        <v/>
      </c>
      <c r="E36" s="52" t="n"/>
      <c r="F36" s="51" t="n"/>
      <c r="G36" s="65" t="n"/>
      <c r="H36" s="52" t="n"/>
      <c r="I36" s="52" t="n"/>
      <c r="J3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6" s="59" t="n"/>
      <c r="L36" s="51" t="n"/>
      <c r="M3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6" s="61" t="str">
        <f>IFERROR(VALUE(MID(tblTasks[[#This Row],[タスクID]],2,20)),"")</f>
        <v/>
      </c>
      <c r="O36" s="61" t="str">
        <f>tblTasks[[#This Row],[案件ID]]&amp;"|"&amp;tblTasks[[#This Row],[ID番号]]</f>
        <v>|</v>
      </c>
      <c r="P36" s="61" t="str">
        <f>IF(tblTasks[[#This Row],[案件ID]]="","",IFERROR(MATCH(tblTasks[[#This Row],[案件ID]],tblCases[案件ID],0),""))</f>
        <v/>
      </c>
      <c r="Q36" s="61">
        <f>IF(tblTasks[[#This Row],[案件行]]="",0,INDEX(tblCases[連絡停止],tblTasks[[#This Row],[案件行]]))</f>
        <v>0</v>
      </c>
      <c r="R36" s="61" t="str">
        <f>IF(tblTasks[[#This Row],[案件行]]="","",INDEX(tblCases[状態区分],tblTasks[[#This Row],[案件行]])&amp;"")</f>
        <v/>
      </c>
      <c r="S36" s="61">
        <f>IF(AND(tblTasks[[#This Row],[タスクID]]&lt;&gt;"",OR(tblTasks[[#This Row],[状態]]="未着手",tblTasks[[#This Row],[状態]]="対応中")),1,0)</f>
        <v>0</v>
      </c>
      <c r="T3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6" s="61">
        <f>IF(OR(HomeStaff="",HomeStaff="全員",HomeStaff=tblTasks[[#This Row],[担当者]]),1,0)</f>
        <v>1</v>
      </c>
      <c r="W36" s="61">
        <f>IF(ISNUMBER(tblTasks[[#This Row],[期限日]]),INT(tblTasks[[#This Row],[期限日]]),99999)*100000+N(tblTasks[[#This Row],[ID番号]])</f>
        <v>9999900000</v>
      </c>
      <c r="X36" s="61">
        <f>IF(AND(OR(tblTasks[[#This Row],[表示区分]]="期限超過",tblTasks[[#This Row],[表示区分]]="本日"),tblTasks[[#This Row],[担当一致]]=1),1,0)</f>
        <v>0</v>
      </c>
      <c r="Y36" s="61" t="str">
        <f>IF(tblTasks[[#This Row],[一覧1対象]]=1,COUNTIFS(tblTasks[一覧1対象],1,tblTasks[並びキー],"&lt;"&amp;tblTasks[[#This Row],[並びキー]])+1,"")</f>
        <v/>
      </c>
      <c r="Z3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6" s="61" t="str">
        <f>IF(tblTasks[[#This Row],[一覧3対象]]=1,COUNTIFS(tblTasks[一覧3対象],1,tblTasks[並びキー],"&lt;"&amp;tblTasks[[#This Row],[並びキー]])+1,"")</f>
        <v/>
      </c>
      <c r="AB36" s="61">
        <f>IF(AND(tblTasks[[#This Row],[表示区分]]="今後",INT(N(tblTasks[[#This Row],[期限日]]))&lt;=RefDate+UpcomingDays,tblTasks[[#This Row],[担当一致]]=1),1,0)</f>
        <v>0</v>
      </c>
      <c r="AC36" s="61" t="str">
        <f>IF(tblTasks[[#This Row],[一覧4対象]]=1,COUNTIFS(tblTasks[一覧4対象],1,tblTasks[並びキー],"&lt;"&amp;tblTasks[[#This Row],[並びキー]])+1,"")</f>
        <v/>
      </c>
    </row>
    <row r="37">
      <c r="A37" s="49" t="n"/>
      <c r="B37" s="49" t="n"/>
      <c r="C37" s="50" t="str">
        <f>IF(tblTasks[[#This Row],[案件ID]]="","",IF(tblTasks[[#This Row],[案件行]]="","（未登録の案件ID）",INDEX(tblCases[顧客名],tblTasks[[#This Row],[案件行]])&amp;""))</f>
        <v/>
      </c>
      <c r="D37" s="50" t="str">
        <f>IF(tblTasks[[#This Row],[案件行]]="","",INDEX(tblCases[案件名],tblTasks[[#This Row],[案件行]])&amp;"")</f>
        <v/>
      </c>
      <c r="E37" s="52" t="n"/>
      <c r="F37" s="51" t="n"/>
      <c r="G37" s="65" t="n"/>
      <c r="H37" s="52" t="n"/>
      <c r="I37" s="52" t="n"/>
      <c r="J3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7" s="59" t="n"/>
      <c r="L37" s="51" t="n"/>
      <c r="M3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7" s="61" t="str">
        <f>IFERROR(VALUE(MID(tblTasks[[#This Row],[タスクID]],2,20)),"")</f>
        <v/>
      </c>
      <c r="O37" s="61" t="str">
        <f>tblTasks[[#This Row],[案件ID]]&amp;"|"&amp;tblTasks[[#This Row],[ID番号]]</f>
        <v>|</v>
      </c>
      <c r="P37" s="61" t="str">
        <f>IF(tblTasks[[#This Row],[案件ID]]="","",IFERROR(MATCH(tblTasks[[#This Row],[案件ID]],tblCases[案件ID],0),""))</f>
        <v/>
      </c>
      <c r="Q37" s="61">
        <f>IF(tblTasks[[#This Row],[案件行]]="",0,INDEX(tblCases[連絡停止],tblTasks[[#This Row],[案件行]]))</f>
        <v>0</v>
      </c>
      <c r="R37" s="61" t="str">
        <f>IF(tblTasks[[#This Row],[案件行]]="","",INDEX(tblCases[状態区分],tblTasks[[#This Row],[案件行]])&amp;"")</f>
        <v/>
      </c>
      <c r="S37" s="61">
        <f>IF(AND(tblTasks[[#This Row],[タスクID]]&lt;&gt;"",OR(tblTasks[[#This Row],[状態]]="未着手",tblTasks[[#This Row],[状態]]="対応中")),1,0)</f>
        <v>0</v>
      </c>
      <c r="T3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7" s="61">
        <f>IF(OR(HomeStaff="",HomeStaff="全員",HomeStaff=tblTasks[[#This Row],[担当者]]),1,0)</f>
        <v>1</v>
      </c>
      <c r="W37" s="61">
        <f>IF(ISNUMBER(tblTasks[[#This Row],[期限日]]),INT(tblTasks[[#This Row],[期限日]]),99999)*100000+N(tblTasks[[#This Row],[ID番号]])</f>
        <v>9999900000</v>
      </c>
      <c r="X37" s="61">
        <f>IF(AND(OR(tblTasks[[#This Row],[表示区分]]="期限超過",tblTasks[[#This Row],[表示区分]]="本日"),tblTasks[[#This Row],[担当一致]]=1),1,0)</f>
        <v>0</v>
      </c>
      <c r="Y37" s="61" t="str">
        <f>IF(tblTasks[[#This Row],[一覧1対象]]=1,COUNTIFS(tblTasks[一覧1対象],1,tblTasks[並びキー],"&lt;"&amp;tblTasks[[#This Row],[並びキー]])+1,"")</f>
        <v/>
      </c>
      <c r="Z3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7" s="61" t="str">
        <f>IF(tblTasks[[#This Row],[一覧3対象]]=1,COUNTIFS(tblTasks[一覧3対象],1,tblTasks[並びキー],"&lt;"&amp;tblTasks[[#This Row],[並びキー]])+1,"")</f>
        <v/>
      </c>
      <c r="AB37" s="61">
        <f>IF(AND(tblTasks[[#This Row],[表示区分]]="今後",INT(N(tblTasks[[#This Row],[期限日]]))&lt;=RefDate+UpcomingDays,tblTasks[[#This Row],[担当一致]]=1),1,0)</f>
        <v>0</v>
      </c>
      <c r="AC37" s="61" t="str">
        <f>IF(tblTasks[[#This Row],[一覧4対象]]=1,COUNTIFS(tblTasks[一覧4対象],1,tblTasks[並びキー],"&lt;"&amp;tblTasks[[#This Row],[並びキー]])+1,"")</f>
        <v/>
      </c>
    </row>
    <row r="38">
      <c r="A38" s="49" t="n"/>
      <c r="B38" s="49" t="n"/>
      <c r="C38" s="50" t="str">
        <f>IF(tblTasks[[#This Row],[案件ID]]="","",IF(tblTasks[[#This Row],[案件行]]="","（未登録の案件ID）",INDEX(tblCases[顧客名],tblTasks[[#This Row],[案件行]])&amp;""))</f>
        <v/>
      </c>
      <c r="D38" s="50" t="str">
        <f>IF(tblTasks[[#This Row],[案件行]]="","",INDEX(tblCases[案件名],tblTasks[[#This Row],[案件行]])&amp;"")</f>
        <v/>
      </c>
      <c r="E38" s="52" t="n"/>
      <c r="F38" s="51" t="n"/>
      <c r="G38" s="65" t="n"/>
      <c r="H38" s="52" t="n"/>
      <c r="I38" s="52" t="n"/>
      <c r="J3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8" s="59" t="n"/>
      <c r="L38" s="51" t="n"/>
      <c r="M3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8" s="61" t="str">
        <f>IFERROR(VALUE(MID(tblTasks[[#This Row],[タスクID]],2,20)),"")</f>
        <v/>
      </c>
      <c r="O38" s="61" t="str">
        <f>tblTasks[[#This Row],[案件ID]]&amp;"|"&amp;tblTasks[[#This Row],[ID番号]]</f>
        <v>|</v>
      </c>
      <c r="P38" s="61" t="str">
        <f>IF(tblTasks[[#This Row],[案件ID]]="","",IFERROR(MATCH(tblTasks[[#This Row],[案件ID]],tblCases[案件ID],0),""))</f>
        <v/>
      </c>
      <c r="Q38" s="61">
        <f>IF(tblTasks[[#This Row],[案件行]]="",0,INDEX(tblCases[連絡停止],tblTasks[[#This Row],[案件行]]))</f>
        <v>0</v>
      </c>
      <c r="R38" s="61" t="str">
        <f>IF(tblTasks[[#This Row],[案件行]]="","",INDEX(tblCases[状態区分],tblTasks[[#This Row],[案件行]])&amp;"")</f>
        <v/>
      </c>
      <c r="S38" s="61">
        <f>IF(AND(tblTasks[[#This Row],[タスクID]]&lt;&gt;"",OR(tblTasks[[#This Row],[状態]]="未着手",tblTasks[[#This Row],[状態]]="対応中")),1,0)</f>
        <v>0</v>
      </c>
      <c r="T3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8" s="61">
        <f>IF(OR(HomeStaff="",HomeStaff="全員",HomeStaff=tblTasks[[#This Row],[担当者]]),1,0)</f>
        <v>1</v>
      </c>
      <c r="W38" s="61">
        <f>IF(ISNUMBER(tblTasks[[#This Row],[期限日]]),INT(tblTasks[[#This Row],[期限日]]),99999)*100000+N(tblTasks[[#This Row],[ID番号]])</f>
        <v>9999900000</v>
      </c>
      <c r="X38" s="61">
        <f>IF(AND(OR(tblTasks[[#This Row],[表示区分]]="期限超過",tblTasks[[#This Row],[表示区分]]="本日"),tblTasks[[#This Row],[担当一致]]=1),1,0)</f>
        <v>0</v>
      </c>
      <c r="Y38" s="61" t="str">
        <f>IF(tblTasks[[#This Row],[一覧1対象]]=1,COUNTIFS(tblTasks[一覧1対象],1,tblTasks[並びキー],"&lt;"&amp;tblTasks[[#This Row],[並びキー]])+1,"")</f>
        <v/>
      </c>
      <c r="Z3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8" s="61" t="str">
        <f>IF(tblTasks[[#This Row],[一覧3対象]]=1,COUNTIFS(tblTasks[一覧3対象],1,tblTasks[並びキー],"&lt;"&amp;tblTasks[[#This Row],[並びキー]])+1,"")</f>
        <v/>
      </c>
      <c r="AB38" s="61">
        <f>IF(AND(tblTasks[[#This Row],[表示区分]]="今後",INT(N(tblTasks[[#This Row],[期限日]]))&lt;=RefDate+UpcomingDays,tblTasks[[#This Row],[担当一致]]=1),1,0)</f>
        <v>0</v>
      </c>
      <c r="AC38" s="61" t="str">
        <f>IF(tblTasks[[#This Row],[一覧4対象]]=1,COUNTIFS(tblTasks[一覧4対象],1,tblTasks[並びキー],"&lt;"&amp;tblTasks[[#This Row],[並びキー]])+1,"")</f>
        <v/>
      </c>
    </row>
    <row r="39">
      <c r="A39" s="49" t="n"/>
      <c r="B39" s="49" t="n"/>
      <c r="C39" s="50" t="str">
        <f>IF(tblTasks[[#This Row],[案件ID]]="","",IF(tblTasks[[#This Row],[案件行]]="","（未登録の案件ID）",INDEX(tblCases[顧客名],tblTasks[[#This Row],[案件行]])&amp;""))</f>
        <v/>
      </c>
      <c r="D39" s="50" t="str">
        <f>IF(tblTasks[[#This Row],[案件行]]="","",INDEX(tblCases[案件名],tblTasks[[#This Row],[案件行]])&amp;"")</f>
        <v/>
      </c>
      <c r="E39" s="52" t="n"/>
      <c r="F39" s="51" t="n"/>
      <c r="G39" s="65" t="n"/>
      <c r="H39" s="52" t="n"/>
      <c r="I39" s="52" t="n"/>
      <c r="J3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39" s="59" t="n"/>
      <c r="L39" s="51" t="n"/>
      <c r="M3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39" s="61" t="str">
        <f>IFERROR(VALUE(MID(tblTasks[[#This Row],[タスクID]],2,20)),"")</f>
        <v/>
      </c>
      <c r="O39" s="61" t="str">
        <f>tblTasks[[#This Row],[案件ID]]&amp;"|"&amp;tblTasks[[#This Row],[ID番号]]</f>
        <v>|</v>
      </c>
      <c r="P39" s="61" t="str">
        <f>IF(tblTasks[[#This Row],[案件ID]]="","",IFERROR(MATCH(tblTasks[[#This Row],[案件ID]],tblCases[案件ID],0),""))</f>
        <v/>
      </c>
      <c r="Q39" s="61">
        <f>IF(tblTasks[[#This Row],[案件行]]="",0,INDEX(tblCases[連絡停止],tblTasks[[#This Row],[案件行]]))</f>
        <v>0</v>
      </c>
      <c r="R39" s="61" t="str">
        <f>IF(tblTasks[[#This Row],[案件行]]="","",INDEX(tblCases[状態区分],tblTasks[[#This Row],[案件行]])&amp;"")</f>
        <v/>
      </c>
      <c r="S39" s="61">
        <f>IF(AND(tblTasks[[#This Row],[タスクID]]&lt;&gt;"",OR(tblTasks[[#This Row],[状態]]="未着手",tblTasks[[#This Row],[状態]]="対応中")),1,0)</f>
        <v>0</v>
      </c>
      <c r="T3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3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39" s="61">
        <f>IF(OR(HomeStaff="",HomeStaff="全員",HomeStaff=tblTasks[[#This Row],[担当者]]),1,0)</f>
        <v>1</v>
      </c>
      <c r="W39" s="61">
        <f>IF(ISNUMBER(tblTasks[[#This Row],[期限日]]),INT(tblTasks[[#This Row],[期限日]]),99999)*100000+N(tblTasks[[#This Row],[ID番号]])</f>
        <v>9999900000</v>
      </c>
      <c r="X39" s="61">
        <f>IF(AND(OR(tblTasks[[#This Row],[表示区分]]="期限超過",tblTasks[[#This Row],[表示区分]]="本日"),tblTasks[[#This Row],[担当一致]]=1),1,0)</f>
        <v>0</v>
      </c>
      <c r="Y39" s="61" t="str">
        <f>IF(tblTasks[[#This Row],[一覧1対象]]=1,COUNTIFS(tblTasks[一覧1対象],1,tblTasks[並びキー],"&lt;"&amp;tblTasks[[#This Row],[並びキー]])+1,"")</f>
        <v/>
      </c>
      <c r="Z3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39" s="61" t="str">
        <f>IF(tblTasks[[#This Row],[一覧3対象]]=1,COUNTIFS(tblTasks[一覧3対象],1,tblTasks[並びキー],"&lt;"&amp;tblTasks[[#This Row],[並びキー]])+1,"")</f>
        <v/>
      </c>
      <c r="AB39" s="61">
        <f>IF(AND(tblTasks[[#This Row],[表示区分]]="今後",INT(N(tblTasks[[#This Row],[期限日]]))&lt;=RefDate+UpcomingDays,tblTasks[[#This Row],[担当一致]]=1),1,0)</f>
        <v>0</v>
      </c>
      <c r="AC39" s="61" t="str">
        <f>IF(tblTasks[[#This Row],[一覧4対象]]=1,COUNTIFS(tblTasks[一覧4対象],1,tblTasks[並びキー],"&lt;"&amp;tblTasks[[#This Row],[並びキー]])+1,"")</f>
        <v/>
      </c>
    </row>
    <row r="40">
      <c r="A40" s="49" t="n"/>
      <c r="B40" s="49" t="n"/>
      <c r="C40" s="50" t="str">
        <f>IF(tblTasks[[#This Row],[案件ID]]="","",IF(tblTasks[[#This Row],[案件行]]="","（未登録の案件ID）",INDEX(tblCases[顧客名],tblTasks[[#This Row],[案件行]])&amp;""))</f>
        <v/>
      </c>
      <c r="D40" s="50" t="str">
        <f>IF(tblTasks[[#This Row],[案件行]]="","",INDEX(tblCases[案件名],tblTasks[[#This Row],[案件行]])&amp;"")</f>
        <v/>
      </c>
      <c r="E40" s="52" t="n"/>
      <c r="F40" s="51" t="n"/>
      <c r="G40" s="65" t="n"/>
      <c r="H40" s="52" t="n"/>
      <c r="I40" s="52" t="n"/>
      <c r="J4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0" s="59" t="n"/>
      <c r="L40" s="51" t="n"/>
      <c r="M4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0" s="61" t="str">
        <f>IFERROR(VALUE(MID(tblTasks[[#This Row],[タスクID]],2,20)),"")</f>
        <v/>
      </c>
      <c r="O40" s="61" t="str">
        <f>tblTasks[[#This Row],[案件ID]]&amp;"|"&amp;tblTasks[[#This Row],[ID番号]]</f>
        <v>|</v>
      </c>
      <c r="P40" s="61" t="str">
        <f>IF(tblTasks[[#This Row],[案件ID]]="","",IFERROR(MATCH(tblTasks[[#This Row],[案件ID]],tblCases[案件ID],0),""))</f>
        <v/>
      </c>
      <c r="Q40" s="61">
        <f>IF(tblTasks[[#This Row],[案件行]]="",0,INDEX(tblCases[連絡停止],tblTasks[[#This Row],[案件行]]))</f>
        <v>0</v>
      </c>
      <c r="R40" s="61" t="str">
        <f>IF(tblTasks[[#This Row],[案件行]]="","",INDEX(tblCases[状態区分],tblTasks[[#This Row],[案件行]])&amp;"")</f>
        <v/>
      </c>
      <c r="S40" s="61">
        <f>IF(AND(tblTasks[[#This Row],[タスクID]]&lt;&gt;"",OR(tblTasks[[#This Row],[状態]]="未着手",tblTasks[[#This Row],[状態]]="対応中")),1,0)</f>
        <v>0</v>
      </c>
      <c r="T4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0" s="61">
        <f>IF(OR(HomeStaff="",HomeStaff="全員",HomeStaff=tblTasks[[#This Row],[担当者]]),1,0)</f>
        <v>1</v>
      </c>
      <c r="W40" s="61">
        <f>IF(ISNUMBER(tblTasks[[#This Row],[期限日]]),INT(tblTasks[[#This Row],[期限日]]),99999)*100000+N(tblTasks[[#This Row],[ID番号]])</f>
        <v>9999900000</v>
      </c>
      <c r="X40" s="61">
        <f>IF(AND(OR(tblTasks[[#This Row],[表示区分]]="期限超過",tblTasks[[#This Row],[表示区分]]="本日"),tblTasks[[#This Row],[担当一致]]=1),1,0)</f>
        <v>0</v>
      </c>
      <c r="Y40" s="61" t="str">
        <f>IF(tblTasks[[#This Row],[一覧1対象]]=1,COUNTIFS(tblTasks[一覧1対象],1,tblTasks[並びキー],"&lt;"&amp;tblTasks[[#This Row],[並びキー]])+1,"")</f>
        <v/>
      </c>
      <c r="Z4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0" s="61" t="str">
        <f>IF(tblTasks[[#This Row],[一覧3対象]]=1,COUNTIFS(tblTasks[一覧3対象],1,tblTasks[並びキー],"&lt;"&amp;tblTasks[[#This Row],[並びキー]])+1,"")</f>
        <v/>
      </c>
      <c r="AB40" s="61">
        <f>IF(AND(tblTasks[[#This Row],[表示区分]]="今後",INT(N(tblTasks[[#This Row],[期限日]]))&lt;=RefDate+UpcomingDays,tblTasks[[#This Row],[担当一致]]=1),1,0)</f>
        <v>0</v>
      </c>
      <c r="AC40" s="61" t="str">
        <f>IF(tblTasks[[#This Row],[一覧4対象]]=1,COUNTIFS(tblTasks[一覧4対象],1,tblTasks[並びキー],"&lt;"&amp;tblTasks[[#This Row],[並びキー]])+1,"")</f>
        <v/>
      </c>
    </row>
    <row r="41">
      <c r="A41" s="49" t="n"/>
      <c r="B41" s="49" t="n"/>
      <c r="C41" s="50" t="str">
        <f>IF(tblTasks[[#This Row],[案件ID]]="","",IF(tblTasks[[#This Row],[案件行]]="","（未登録の案件ID）",INDEX(tblCases[顧客名],tblTasks[[#This Row],[案件行]])&amp;""))</f>
        <v/>
      </c>
      <c r="D41" s="50" t="str">
        <f>IF(tblTasks[[#This Row],[案件行]]="","",INDEX(tblCases[案件名],tblTasks[[#This Row],[案件行]])&amp;"")</f>
        <v/>
      </c>
      <c r="E41" s="52" t="n"/>
      <c r="F41" s="51" t="n"/>
      <c r="G41" s="65" t="n"/>
      <c r="H41" s="52" t="n"/>
      <c r="I41" s="52" t="n"/>
      <c r="J4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1" s="59" t="n"/>
      <c r="L41" s="51" t="n"/>
      <c r="M4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1" s="61" t="str">
        <f>IFERROR(VALUE(MID(tblTasks[[#This Row],[タスクID]],2,20)),"")</f>
        <v/>
      </c>
      <c r="O41" s="61" t="str">
        <f>tblTasks[[#This Row],[案件ID]]&amp;"|"&amp;tblTasks[[#This Row],[ID番号]]</f>
        <v>|</v>
      </c>
      <c r="P41" s="61" t="str">
        <f>IF(tblTasks[[#This Row],[案件ID]]="","",IFERROR(MATCH(tblTasks[[#This Row],[案件ID]],tblCases[案件ID],0),""))</f>
        <v/>
      </c>
      <c r="Q41" s="61">
        <f>IF(tblTasks[[#This Row],[案件行]]="",0,INDEX(tblCases[連絡停止],tblTasks[[#This Row],[案件行]]))</f>
        <v>0</v>
      </c>
      <c r="R41" s="61" t="str">
        <f>IF(tblTasks[[#This Row],[案件行]]="","",INDEX(tblCases[状態区分],tblTasks[[#This Row],[案件行]])&amp;"")</f>
        <v/>
      </c>
      <c r="S41" s="61">
        <f>IF(AND(tblTasks[[#This Row],[タスクID]]&lt;&gt;"",OR(tblTasks[[#This Row],[状態]]="未着手",tblTasks[[#This Row],[状態]]="対応中")),1,0)</f>
        <v>0</v>
      </c>
      <c r="T4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1" s="61">
        <f>IF(OR(HomeStaff="",HomeStaff="全員",HomeStaff=tblTasks[[#This Row],[担当者]]),1,0)</f>
        <v>1</v>
      </c>
      <c r="W41" s="61">
        <f>IF(ISNUMBER(tblTasks[[#This Row],[期限日]]),INT(tblTasks[[#This Row],[期限日]]),99999)*100000+N(tblTasks[[#This Row],[ID番号]])</f>
        <v>9999900000</v>
      </c>
      <c r="X41" s="61">
        <f>IF(AND(OR(tblTasks[[#This Row],[表示区分]]="期限超過",tblTasks[[#This Row],[表示区分]]="本日"),tblTasks[[#This Row],[担当一致]]=1),1,0)</f>
        <v>0</v>
      </c>
      <c r="Y41" s="61" t="str">
        <f>IF(tblTasks[[#This Row],[一覧1対象]]=1,COUNTIFS(tblTasks[一覧1対象],1,tblTasks[並びキー],"&lt;"&amp;tblTasks[[#This Row],[並びキー]])+1,"")</f>
        <v/>
      </c>
      <c r="Z4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1" s="61" t="str">
        <f>IF(tblTasks[[#This Row],[一覧3対象]]=1,COUNTIFS(tblTasks[一覧3対象],1,tblTasks[並びキー],"&lt;"&amp;tblTasks[[#This Row],[並びキー]])+1,"")</f>
        <v/>
      </c>
      <c r="AB41" s="61">
        <f>IF(AND(tblTasks[[#This Row],[表示区分]]="今後",INT(N(tblTasks[[#This Row],[期限日]]))&lt;=RefDate+UpcomingDays,tblTasks[[#This Row],[担当一致]]=1),1,0)</f>
        <v>0</v>
      </c>
      <c r="AC41" s="61" t="str">
        <f>IF(tblTasks[[#This Row],[一覧4対象]]=1,COUNTIFS(tblTasks[一覧4対象],1,tblTasks[並びキー],"&lt;"&amp;tblTasks[[#This Row],[並びキー]])+1,"")</f>
        <v/>
      </c>
    </row>
    <row r="42">
      <c r="A42" s="49" t="n"/>
      <c r="B42" s="49" t="n"/>
      <c r="C42" s="50" t="str">
        <f>IF(tblTasks[[#This Row],[案件ID]]="","",IF(tblTasks[[#This Row],[案件行]]="","（未登録の案件ID）",INDEX(tblCases[顧客名],tblTasks[[#This Row],[案件行]])&amp;""))</f>
        <v/>
      </c>
      <c r="D42" s="50" t="str">
        <f>IF(tblTasks[[#This Row],[案件行]]="","",INDEX(tblCases[案件名],tblTasks[[#This Row],[案件行]])&amp;"")</f>
        <v/>
      </c>
      <c r="E42" s="52" t="n"/>
      <c r="F42" s="51" t="n"/>
      <c r="G42" s="65" t="n"/>
      <c r="H42" s="52" t="n"/>
      <c r="I42" s="52" t="n"/>
      <c r="J4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2" s="59" t="n"/>
      <c r="L42" s="51" t="n"/>
      <c r="M4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2" s="61" t="str">
        <f>IFERROR(VALUE(MID(tblTasks[[#This Row],[タスクID]],2,20)),"")</f>
        <v/>
      </c>
      <c r="O42" s="61" t="str">
        <f>tblTasks[[#This Row],[案件ID]]&amp;"|"&amp;tblTasks[[#This Row],[ID番号]]</f>
        <v>|</v>
      </c>
      <c r="P42" s="61" t="str">
        <f>IF(tblTasks[[#This Row],[案件ID]]="","",IFERROR(MATCH(tblTasks[[#This Row],[案件ID]],tblCases[案件ID],0),""))</f>
        <v/>
      </c>
      <c r="Q42" s="61">
        <f>IF(tblTasks[[#This Row],[案件行]]="",0,INDEX(tblCases[連絡停止],tblTasks[[#This Row],[案件行]]))</f>
        <v>0</v>
      </c>
      <c r="R42" s="61" t="str">
        <f>IF(tblTasks[[#This Row],[案件行]]="","",INDEX(tblCases[状態区分],tblTasks[[#This Row],[案件行]])&amp;"")</f>
        <v/>
      </c>
      <c r="S42" s="61">
        <f>IF(AND(tblTasks[[#This Row],[タスクID]]&lt;&gt;"",OR(tblTasks[[#This Row],[状態]]="未着手",tblTasks[[#This Row],[状態]]="対応中")),1,0)</f>
        <v>0</v>
      </c>
      <c r="T4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2" s="61">
        <f>IF(OR(HomeStaff="",HomeStaff="全員",HomeStaff=tblTasks[[#This Row],[担当者]]),1,0)</f>
        <v>1</v>
      </c>
      <c r="W42" s="61">
        <f>IF(ISNUMBER(tblTasks[[#This Row],[期限日]]),INT(tblTasks[[#This Row],[期限日]]),99999)*100000+N(tblTasks[[#This Row],[ID番号]])</f>
        <v>9999900000</v>
      </c>
      <c r="X42" s="61">
        <f>IF(AND(OR(tblTasks[[#This Row],[表示区分]]="期限超過",tblTasks[[#This Row],[表示区分]]="本日"),tblTasks[[#This Row],[担当一致]]=1),1,0)</f>
        <v>0</v>
      </c>
      <c r="Y42" s="61" t="str">
        <f>IF(tblTasks[[#This Row],[一覧1対象]]=1,COUNTIFS(tblTasks[一覧1対象],1,tblTasks[並びキー],"&lt;"&amp;tblTasks[[#This Row],[並びキー]])+1,"")</f>
        <v/>
      </c>
      <c r="Z4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2" s="61" t="str">
        <f>IF(tblTasks[[#This Row],[一覧3対象]]=1,COUNTIFS(tblTasks[一覧3対象],1,tblTasks[並びキー],"&lt;"&amp;tblTasks[[#This Row],[並びキー]])+1,"")</f>
        <v/>
      </c>
      <c r="AB42" s="61">
        <f>IF(AND(tblTasks[[#This Row],[表示区分]]="今後",INT(N(tblTasks[[#This Row],[期限日]]))&lt;=RefDate+UpcomingDays,tblTasks[[#This Row],[担当一致]]=1),1,0)</f>
        <v>0</v>
      </c>
      <c r="AC42" s="61" t="str">
        <f>IF(tblTasks[[#This Row],[一覧4対象]]=1,COUNTIFS(tblTasks[一覧4対象],1,tblTasks[並びキー],"&lt;"&amp;tblTasks[[#This Row],[並びキー]])+1,"")</f>
        <v/>
      </c>
    </row>
    <row r="43">
      <c r="A43" s="49" t="n"/>
      <c r="B43" s="49" t="n"/>
      <c r="C43" s="50" t="str">
        <f>IF(tblTasks[[#This Row],[案件ID]]="","",IF(tblTasks[[#This Row],[案件行]]="","（未登録の案件ID）",INDEX(tblCases[顧客名],tblTasks[[#This Row],[案件行]])&amp;""))</f>
        <v/>
      </c>
      <c r="D43" s="50" t="str">
        <f>IF(tblTasks[[#This Row],[案件行]]="","",INDEX(tblCases[案件名],tblTasks[[#This Row],[案件行]])&amp;"")</f>
        <v/>
      </c>
      <c r="E43" s="52" t="n"/>
      <c r="F43" s="51" t="n"/>
      <c r="G43" s="65" t="n"/>
      <c r="H43" s="52" t="n"/>
      <c r="I43" s="52" t="n"/>
      <c r="J4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3" s="59" t="n"/>
      <c r="L43" s="51" t="n"/>
      <c r="M4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3" s="61" t="str">
        <f>IFERROR(VALUE(MID(tblTasks[[#This Row],[タスクID]],2,20)),"")</f>
        <v/>
      </c>
      <c r="O43" s="61" t="str">
        <f>tblTasks[[#This Row],[案件ID]]&amp;"|"&amp;tblTasks[[#This Row],[ID番号]]</f>
        <v>|</v>
      </c>
      <c r="P43" s="61" t="str">
        <f>IF(tblTasks[[#This Row],[案件ID]]="","",IFERROR(MATCH(tblTasks[[#This Row],[案件ID]],tblCases[案件ID],0),""))</f>
        <v/>
      </c>
      <c r="Q43" s="61">
        <f>IF(tblTasks[[#This Row],[案件行]]="",0,INDEX(tblCases[連絡停止],tblTasks[[#This Row],[案件行]]))</f>
        <v>0</v>
      </c>
      <c r="R43" s="61" t="str">
        <f>IF(tblTasks[[#This Row],[案件行]]="","",INDEX(tblCases[状態区分],tblTasks[[#This Row],[案件行]])&amp;"")</f>
        <v/>
      </c>
      <c r="S43" s="61">
        <f>IF(AND(tblTasks[[#This Row],[タスクID]]&lt;&gt;"",OR(tblTasks[[#This Row],[状態]]="未着手",tblTasks[[#This Row],[状態]]="対応中")),1,0)</f>
        <v>0</v>
      </c>
      <c r="T4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3" s="61">
        <f>IF(OR(HomeStaff="",HomeStaff="全員",HomeStaff=tblTasks[[#This Row],[担当者]]),1,0)</f>
        <v>1</v>
      </c>
      <c r="W43" s="61">
        <f>IF(ISNUMBER(tblTasks[[#This Row],[期限日]]),INT(tblTasks[[#This Row],[期限日]]),99999)*100000+N(tblTasks[[#This Row],[ID番号]])</f>
        <v>9999900000</v>
      </c>
      <c r="X43" s="61">
        <f>IF(AND(OR(tblTasks[[#This Row],[表示区分]]="期限超過",tblTasks[[#This Row],[表示区分]]="本日"),tblTasks[[#This Row],[担当一致]]=1),1,0)</f>
        <v>0</v>
      </c>
      <c r="Y43" s="61" t="str">
        <f>IF(tblTasks[[#This Row],[一覧1対象]]=1,COUNTIFS(tblTasks[一覧1対象],1,tblTasks[並びキー],"&lt;"&amp;tblTasks[[#This Row],[並びキー]])+1,"")</f>
        <v/>
      </c>
      <c r="Z4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3" s="61" t="str">
        <f>IF(tblTasks[[#This Row],[一覧3対象]]=1,COUNTIFS(tblTasks[一覧3対象],1,tblTasks[並びキー],"&lt;"&amp;tblTasks[[#This Row],[並びキー]])+1,"")</f>
        <v/>
      </c>
      <c r="AB43" s="61">
        <f>IF(AND(tblTasks[[#This Row],[表示区分]]="今後",INT(N(tblTasks[[#This Row],[期限日]]))&lt;=RefDate+UpcomingDays,tblTasks[[#This Row],[担当一致]]=1),1,0)</f>
        <v>0</v>
      </c>
      <c r="AC43" s="61" t="str">
        <f>IF(tblTasks[[#This Row],[一覧4対象]]=1,COUNTIFS(tblTasks[一覧4対象],1,tblTasks[並びキー],"&lt;"&amp;tblTasks[[#This Row],[並びキー]])+1,"")</f>
        <v/>
      </c>
    </row>
    <row r="44">
      <c r="A44" s="49" t="n"/>
      <c r="B44" s="49" t="n"/>
      <c r="C44" s="50" t="str">
        <f>IF(tblTasks[[#This Row],[案件ID]]="","",IF(tblTasks[[#This Row],[案件行]]="","（未登録の案件ID）",INDEX(tblCases[顧客名],tblTasks[[#This Row],[案件行]])&amp;""))</f>
        <v/>
      </c>
      <c r="D44" s="50" t="str">
        <f>IF(tblTasks[[#This Row],[案件行]]="","",INDEX(tblCases[案件名],tblTasks[[#This Row],[案件行]])&amp;"")</f>
        <v/>
      </c>
      <c r="E44" s="52" t="n"/>
      <c r="F44" s="51" t="n"/>
      <c r="G44" s="65" t="n"/>
      <c r="H44" s="52" t="n"/>
      <c r="I44" s="52" t="n"/>
      <c r="J4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4" s="59" t="n"/>
      <c r="L44" s="51" t="n"/>
      <c r="M4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4" s="61" t="str">
        <f>IFERROR(VALUE(MID(tblTasks[[#This Row],[タスクID]],2,20)),"")</f>
        <v/>
      </c>
      <c r="O44" s="61" t="str">
        <f>tblTasks[[#This Row],[案件ID]]&amp;"|"&amp;tblTasks[[#This Row],[ID番号]]</f>
        <v>|</v>
      </c>
      <c r="P44" s="61" t="str">
        <f>IF(tblTasks[[#This Row],[案件ID]]="","",IFERROR(MATCH(tblTasks[[#This Row],[案件ID]],tblCases[案件ID],0),""))</f>
        <v/>
      </c>
      <c r="Q44" s="61">
        <f>IF(tblTasks[[#This Row],[案件行]]="",0,INDEX(tblCases[連絡停止],tblTasks[[#This Row],[案件行]]))</f>
        <v>0</v>
      </c>
      <c r="R44" s="61" t="str">
        <f>IF(tblTasks[[#This Row],[案件行]]="","",INDEX(tblCases[状態区分],tblTasks[[#This Row],[案件行]])&amp;"")</f>
        <v/>
      </c>
      <c r="S44" s="61">
        <f>IF(AND(tblTasks[[#This Row],[タスクID]]&lt;&gt;"",OR(tblTasks[[#This Row],[状態]]="未着手",tblTasks[[#This Row],[状態]]="対応中")),1,0)</f>
        <v>0</v>
      </c>
      <c r="T4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4" s="61">
        <f>IF(OR(HomeStaff="",HomeStaff="全員",HomeStaff=tblTasks[[#This Row],[担当者]]),1,0)</f>
        <v>1</v>
      </c>
      <c r="W44" s="61">
        <f>IF(ISNUMBER(tblTasks[[#This Row],[期限日]]),INT(tblTasks[[#This Row],[期限日]]),99999)*100000+N(tblTasks[[#This Row],[ID番号]])</f>
        <v>9999900000</v>
      </c>
      <c r="X44" s="61">
        <f>IF(AND(OR(tblTasks[[#This Row],[表示区分]]="期限超過",tblTasks[[#This Row],[表示区分]]="本日"),tblTasks[[#This Row],[担当一致]]=1),1,0)</f>
        <v>0</v>
      </c>
      <c r="Y44" s="61" t="str">
        <f>IF(tblTasks[[#This Row],[一覧1対象]]=1,COUNTIFS(tblTasks[一覧1対象],1,tblTasks[並びキー],"&lt;"&amp;tblTasks[[#This Row],[並びキー]])+1,"")</f>
        <v/>
      </c>
      <c r="Z4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4" s="61" t="str">
        <f>IF(tblTasks[[#This Row],[一覧3対象]]=1,COUNTIFS(tblTasks[一覧3対象],1,tblTasks[並びキー],"&lt;"&amp;tblTasks[[#This Row],[並びキー]])+1,"")</f>
        <v/>
      </c>
      <c r="AB44" s="61">
        <f>IF(AND(tblTasks[[#This Row],[表示区分]]="今後",INT(N(tblTasks[[#This Row],[期限日]]))&lt;=RefDate+UpcomingDays,tblTasks[[#This Row],[担当一致]]=1),1,0)</f>
        <v>0</v>
      </c>
      <c r="AC44" s="61" t="str">
        <f>IF(tblTasks[[#This Row],[一覧4対象]]=1,COUNTIFS(tblTasks[一覧4対象],1,tblTasks[並びキー],"&lt;"&amp;tblTasks[[#This Row],[並びキー]])+1,"")</f>
        <v/>
      </c>
    </row>
    <row r="45">
      <c r="A45" s="49" t="n"/>
      <c r="B45" s="49" t="n"/>
      <c r="C45" s="50" t="str">
        <f>IF(tblTasks[[#This Row],[案件ID]]="","",IF(tblTasks[[#This Row],[案件行]]="","（未登録の案件ID）",INDEX(tblCases[顧客名],tblTasks[[#This Row],[案件行]])&amp;""))</f>
        <v/>
      </c>
      <c r="D45" s="50" t="str">
        <f>IF(tblTasks[[#This Row],[案件行]]="","",INDEX(tblCases[案件名],tblTasks[[#This Row],[案件行]])&amp;"")</f>
        <v/>
      </c>
      <c r="E45" s="52" t="n"/>
      <c r="F45" s="51" t="n"/>
      <c r="G45" s="65" t="n"/>
      <c r="H45" s="52" t="n"/>
      <c r="I45" s="52" t="n"/>
      <c r="J4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5" s="59" t="n"/>
      <c r="L45" s="51" t="n"/>
      <c r="M4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5" s="61" t="str">
        <f>IFERROR(VALUE(MID(tblTasks[[#This Row],[タスクID]],2,20)),"")</f>
        <v/>
      </c>
      <c r="O45" s="61" t="str">
        <f>tblTasks[[#This Row],[案件ID]]&amp;"|"&amp;tblTasks[[#This Row],[ID番号]]</f>
        <v>|</v>
      </c>
      <c r="P45" s="61" t="str">
        <f>IF(tblTasks[[#This Row],[案件ID]]="","",IFERROR(MATCH(tblTasks[[#This Row],[案件ID]],tblCases[案件ID],0),""))</f>
        <v/>
      </c>
      <c r="Q45" s="61">
        <f>IF(tblTasks[[#This Row],[案件行]]="",0,INDEX(tblCases[連絡停止],tblTasks[[#This Row],[案件行]]))</f>
        <v>0</v>
      </c>
      <c r="R45" s="61" t="str">
        <f>IF(tblTasks[[#This Row],[案件行]]="","",INDEX(tblCases[状態区分],tblTasks[[#This Row],[案件行]])&amp;"")</f>
        <v/>
      </c>
      <c r="S45" s="61">
        <f>IF(AND(tblTasks[[#This Row],[タスクID]]&lt;&gt;"",OR(tblTasks[[#This Row],[状態]]="未着手",tblTasks[[#This Row],[状態]]="対応中")),1,0)</f>
        <v>0</v>
      </c>
      <c r="T4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5" s="61">
        <f>IF(OR(HomeStaff="",HomeStaff="全員",HomeStaff=tblTasks[[#This Row],[担当者]]),1,0)</f>
        <v>1</v>
      </c>
      <c r="W45" s="61">
        <f>IF(ISNUMBER(tblTasks[[#This Row],[期限日]]),INT(tblTasks[[#This Row],[期限日]]),99999)*100000+N(tblTasks[[#This Row],[ID番号]])</f>
        <v>9999900000</v>
      </c>
      <c r="X45" s="61">
        <f>IF(AND(OR(tblTasks[[#This Row],[表示区分]]="期限超過",tblTasks[[#This Row],[表示区分]]="本日"),tblTasks[[#This Row],[担当一致]]=1),1,0)</f>
        <v>0</v>
      </c>
      <c r="Y45" s="61" t="str">
        <f>IF(tblTasks[[#This Row],[一覧1対象]]=1,COUNTIFS(tblTasks[一覧1対象],1,tblTasks[並びキー],"&lt;"&amp;tblTasks[[#This Row],[並びキー]])+1,"")</f>
        <v/>
      </c>
      <c r="Z4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5" s="61" t="str">
        <f>IF(tblTasks[[#This Row],[一覧3対象]]=1,COUNTIFS(tblTasks[一覧3対象],1,tblTasks[並びキー],"&lt;"&amp;tblTasks[[#This Row],[並びキー]])+1,"")</f>
        <v/>
      </c>
      <c r="AB45" s="61">
        <f>IF(AND(tblTasks[[#This Row],[表示区分]]="今後",INT(N(tblTasks[[#This Row],[期限日]]))&lt;=RefDate+UpcomingDays,tblTasks[[#This Row],[担当一致]]=1),1,0)</f>
        <v>0</v>
      </c>
      <c r="AC45" s="61" t="str">
        <f>IF(tblTasks[[#This Row],[一覧4対象]]=1,COUNTIFS(tblTasks[一覧4対象],1,tblTasks[並びキー],"&lt;"&amp;tblTasks[[#This Row],[並びキー]])+1,"")</f>
        <v/>
      </c>
    </row>
    <row r="46">
      <c r="A46" s="49" t="n"/>
      <c r="B46" s="49" t="n"/>
      <c r="C46" s="50" t="str">
        <f>IF(tblTasks[[#This Row],[案件ID]]="","",IF(tblTasks[[#This Row],[案件行]]="","（未登録の案件ID）",INDEX(tblCases[顧客名],tblTasks[[#This Row],[案件行]])&amp;""))</f>
        <v/>
      </c>
      <c r="D46" s="50" t="str">
        <f>IF(tblTasks[[#This Row],[案件行]]="","",INDEX(tblCases[案件名],tblTasks[[#This Row],[案件行]])&amp;"")</f>
        <v/>
      </c>
      <c r="E46" s="52" t="n"/>
      <c r="F46" s="51" t="n"/>
      <c r="G46" s="65" t="n"/>
      <c r="H46" s="52" t="n"/>
      <c r="I46" s="52" t="n"/>
      <c r="J4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6" s="59" t="n"/>
      <c r="L46" s="51" t="n"/>
      <c r="M4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6" s="61" t="str">
        <f>IFERROR(VALUE(MID(tblTasks[[#This Row],[タスクID]],2,20)),"")</f>
        <v/>
      </c>
      <c r="O46" s="61" t="str">
        <f>tblTasks[[#This Row],[案件ID]]&amp;"|"&amp;tblTasks[[#This Row],[ID番号]]</f>
        <v>|</v>
      </c>
      <c r="P46" s="61" t="str">
        <f>IF(tblTasks[[#This Row],[案件ID]]="","",IFERROR(MATCH(tblTasks[[#This Row],[案件ID]],tblCases[案件ID],0),""))</f>
        <v/>
      </c>
      <c r="Q46" s="61">
        <f>IF(tblTasks[[#This Row],[案件行]]="",0,INDEX(tblCases[連絡停止],tblTasks[[#This Row],[案件行]]))</f>
        <v>0</v>
      </c>
      <c r="R46" s="61" t="str">
        <f>IF(tblTasks[[#This Row],[案件行]]="","",INDEX(tblCases[状態区分],tblTasks[[#This Row],[案件行]])&amp;"")</f>
        <v/>
      </c>
      <c r="S46" s="61">
        <f>IF(AND(tblTasks[[#This Row],[タスクID]]&lt;&gt;"",OR(tblTasks[[#This Row],[状態]]="未着手",tblTasks[[#This Row],[状態]]="対応中")),1,0)</f>
        <v>0</v>
      </c>
      <c r="T4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6" s="61">
        <f>IF(OR(HomeStaff="",HomeStaff="全員",HomeStaff=tblTasks[[#This Row],[担当者]]),1,0)</f>
        <v>1</v>
      </c>
      <c r="W46" s="61">
        <f>IF(ISNUMBER(tblTasks[[#This Row],[期限日]]),INT(tblTasks[[#This Row],[期限日]]),99999)*100000+N(tblTasks[[#This Row],[ID番号]])</f>
        <v>9999900000</v>
      </c>
      <c r="X46" s="61">
        <f>IF(AND(OR(tblTasks[[#This Row],[表示区分]]="期限超過",tblTasks[[#This Row],[表示区分]]="本日"),tblTasks[[#This Row],[担当一致]]=1),1,0)</f>
        <v>0</v>
      </c>
      <c r="Y46" s="61" t="str">
        <f>IF(tblTasks[[#This Row],[一覧1対象]]=1,COUNTIFS(tblTasks[一覧1対象],1,tblTasks[並びキー],"&lt;"&amp;tblTasks[[#This Row],[並びキー]])+1,"")</f>
        <v/>
      </c>
      <c r="Z4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6" s="61" t="str">
        <f>IF(tblTasks[[#This Row],[一覧3対象]]=1,COUNTIFS(tblTasks[一覧3対象],1,tblTasks[並びキー],"&lt;"&amp;tblTasks[[#This Row],[並びキー]])+1,"")</f>
        <v/>
      </c>
      <c r="AB46" s="61">
        <f>IF(AND(tblTasks[[#This Row],[表示区分]]="今後",INT(N(tblTasks[[#This Row],[期限日]]))&lt;=RefDate+UpcomingDays,tblTasks[[#This Row],[担当一致]]=1),1,0)</f>
        <v>0</v>
      </c>
      <c r="AC46" s="61" t="str">
        <f>IF(tblTasks[[#This Row],[一覧4対象]]=1,COUNTIFS(tblTasks[一覧4対象],1,tblTasks[並びキー],"&lt;"&amp;tblTasks[[#This Row],[並びキー]])+1,"")</f>
        <v/>
      </c>
    </row>
    <row r="47">
      <c r="A47" s="49" t="n"/>
      <c r="B47" s="49" t="n"/>
      <c r="C47" s="50" t="str">
        <f>IF(tblTasks[[#This Row],[案件ID]]="","",IF(tblTasks[[#This Row],[案件行]]="","（未登録の案件ID）",INDEX(tblCases[顧客名],tblTasks[[#This Row],[案件行]])&amp;""))</f>
        <v/>
      </c>
      <c r="D47" s="50" t="str">
        <f>IF(tblTasks[[#This Row],[案件行]]="","",INDEX(tblCases[案件名],tblTasks[[#This Row],[案件行]])&amp;"")</f>
        <v/>
      </c>
      <c r="E47" s="52" t="n"/>
      <c r="F47" s="51" t="n"/>
      <c r="G47" s="65" t="n"/>
      <c r="H47" s="52" t="n"/>
      <c r="I47" s="52" t="n"/>
      <c r="J4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7" s="59" t="n"/>
      <c r="L47" s="51" t="n"/>
      <c r="M4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7" s="61" t="str">
        <f>IFERROR(VALUE(MID(tblTasks[[#This Row],[タスクID]],2,20)),"")</f>
        <v/>
      </c>
      <c r="O47" s="61" t="str">
        <f>tblTasks[[#This Row],[案件ID]]&amp;"|"&amp;tblTasks[[#This Row],[ID番号]]</f>
        <v>|</v>
      </c>
      <c r="P47" s="61" t="str">
        <f>IF(tblTasks[[#This Row],[案件ID]]="","",IFERROR(MATCH(tblTasks[[#This Row],[案件ID]],tblCases[案件ID],0),""))</f>
        <v/>
      </c>
      <c r="Q47" s="61">
        <f>IF(tblTasks[[#This Row],[案件行]]="",0,INDEX(tblCases[連絡停止],tblTasks[[#This Row],[案件行]]))</f>
        <v>0</v>
      </c>
      <c r="R47" s="61" t="str">
        <f>IF(tblTasks[[#This Row],[案件行]]="","",INDEX(tblCases[状態区分],tblTasks[[#This Row],[案件行]])&amp;"")</f>
        <v/>
      </c>
      <c r="S47" s="61">
        <f>IF(AND(tblTasks[[#This Row],[タスクID]]&lt;&gt;"",OR(tblTasks[[#This Row],[状態]]="未着手",tblTasks[[#This Row],[状態]]="対応中")),1,0)</f>
        <v>0</v>
      </c>
      <c r="T4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7" s="61">
        <f>IF(OR(HomeStaff="",HomeStaff="全員",HomeStaff=tblTasks[[#This Row],[担当者]]),1,0)</f>
        <v>1</v>
      </c>
      <c r="W47" s="61">
        <f>IF(ISNUMBER(tblTasks[[#This Row],[期限日]]),INT(tblTasks[[#This Row],[期限日]]),99999)*100000+N(tblTasks[[#This Row],[ID番号]])</f>
        <v>9999900000</v>
      </c>
      <c r="X47" s="61">
        <f>IF(AND(OR(tblTasks[[#This Row],[表示区分]]="期限超過",tblTasks[[#This Row],[表示区分]]="本日"),tblTasks[[#This Row],[担当一致]]=1),1,0)</f>
        <v>0</v>
      </c>
      <c r="Y47" s="61" t="str">
        <f>IF(tblTasks[[#This Row],[一覧1対象]]=1,COUNTIFS(tblTasks[一覧1対象],1,tblTasks[並びキー],"&lt;"&amp;tblTasks[[#This Row],[並びキー]])+1,"")</f>
        <v/>
      </c>
      <c r="Z4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7" s="61" t="str">
        <f>IF(tblTasks[[#This Row],[一覧3対象]]=1,COUNTIFS(tblTasks[一覧3対象],1,tblTasks[並びキー],"&lt;"&amp;tblTasks[[#This Row],[並びキー]])+1,"")</f>
        <v/>
      </c>
      <c r="AB47" s="61">
        <f>IF(AND(tblTasks[[#This Row],[表示区分]]="今後",INT(N(tblTasks[[#This Row],[期限日]]))&lt;=RefDate+UpcomingDays,tblTasks[[#This Row],[担当一致]]=1),1,0)</f>
        <v>0</v>
      </c>
      <c r="AC47" s="61" t="str">
        <f>IF(tblTasks[[#This Row],[一覧4対象]]=1,COUNTIFS(tblTasks[一覧4対象],1,tblTasks[並びキー],"&lt;"&amp;tblTasks[[#This Row],[並びキー]])+1,"")</f>
        <v/>
      </c>
    </row>
    <row r="48">
      <c r="A48" s="49" t="n"/>
      <c r="B48" s="49" t="n"/>
      <c r="C48" s="50" t="str">
        <f>IF(tblTasks[[#This Row],[案件ID]]="","",IF(tblTasks[[#This Row],[案件行]]="","（未登録の案件ID）",INDEX(tblCases[顧客名],tblTasks[[#This Row],[案件行]])&amp;""))</f>
        <v/>
      </c>
      <c r="D48" s="50" t="str">
        <f>IF(tblTasks[[#This Row],[案件行]]="","",INDEX(tblCases[案件名],tblTasks[[#This Row],[案件行]])&amp;"")</f>
        <v/>
      </c>
      <c r="E48" s="52" t="n"/>
      <c r="F48" s="51" t="n"/>
      <c r="G48" s="65" t="n"/>
      <c r="H48" s="52" t="n"/>
      <c r="I48" s="52" t="n"/>
      <c r="J4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8" s="59" t="n"/>
      <c r="L48" s="51" t="n"/>
      <c r="M4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8" s="61" t="str">
        <f>IFERROR(VALUE(MID(tblTasks[[#This Row],[タスクID]],2,20)),"")</f>
        <v/>
      </c>
      <c r="O48" s="61" t="str">
        <f>tblTasks[[#This Row],[案件ID]]&amp;"|"&amp;tblTasks[[#This Row],[ID番号]]</f>
        <v>|</v>
      </c>
      <c r="P48" s="61" t="str">
        <f>IF(tblTasks[[#This Row],[案件ID]]="","",IFERROR(MATCH(tblTasks[[#This Row],[案件ID]],tblCases[案件ID],0),""))</f>
        <v/>
      </c>
      <c r="Q48" s="61">
        <f>IF(tblTasks[[#This Row],[案件行]]="",0,INDEX(tblCases[連絡停止],tblTasks[[#This Row],[案件行]]))</f>
        <v>0</v>
      </c>
      <c r="R48" s="61" t="str">
        <f>IF(tblTasks[[#This Row],[案件行]]="","",INDEX(tblCases[状態区分],tblTasks[[#This Row],[案件行]])&amp;"")</f>
        <v/>
      </c>
      <c r="S48" s="61">
        <f>IF(AND(tblTasks[[#This Row],[タスクID]]&lt;&gt;"",OR(tblTasks[[#This Row],[状態]]="未着手",tblTasks[[#This Row],[状態]]="対応中")),1,0)</f>
        <v>0</v>
      </c>
      <c r="T4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8" s="61">
        <f>IF(OR(HomeStaff="",HomeStaff="全員",HomeStaff=tblTasks[[#This Row],[担当者]]),1,0)</f>
        <v>1</v>
      </c>
      <c r="W48" s="61">
        <f>IF(ISNUMBER(tblTasks[[#This Row],[期限日]]),INT(tblTasks[[#This Row],[期限日]]),99999)*100000+N(tblTasks[[#This Row],[ID番号]])</f>
        <v>9999900000</v>
      </c>
      <c r="X48" s="61">
        <f>IF(AND(OR(tblTasks[[#This Row],[表示区分]]="期限超過",tblTasks[[#This Row],[表示区分]]="本日"),tblTasks[[#This Row],[担当一致]]=1),1,0)</f>
        <v>0</v>
      </c>
      <c r="Y48" s="61" t="str">
        <f>IF(tblTasks[[#This Row],[一覧1対象]]=1,COUNTIFS(tblTasks[一覧1対象],1,tblTasks[並びキー],"&lt;"&amp;tblTasks[[#This Row],[並びキー]])+1,"")</f>
        <v/>
      </c>
      <c r="Z4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8" s="61" t="str">
        <f>IF(tblTasks[[#This Row],[一覧3対象]]=1,COUNTIFS(tblTasks[一覧3対象],1,tblTasks[並びキー],"&lt;"&amp;tblTasks[[#This Row],[並びキー]])+1,"")</f>
        <v/>
      </c>
      <c r="AB48" s="61">
        <f>IF(AND(tblTasks[[#This Row],[表示区分]]="今後",INT(N(tblTasks[[#This Row],[期限日]]))&lt;=RefDate+UpcomingDays,tblTasks[[#This Row],[担当一致]]=1),1,0)</f>
        <v>0</v>
      </c>
      <c r="AC48" s="61" t="str">
        <f>IF(tblTasks[[#This Row],[一覧4対象]]=1,COUNTIFS(tblTasks[一覧4対象],1,tblTasks[並びキー],"&lt;"&amp;tblTasks[[#This Row],[並びキー]])+1,"")</f>
        <v/>
      </c>
    </row>
    <row r="49">
      <c r="A49" s="49" t="n"/>
      <c r="B49" s="49" t="n"/>
      <c r="C49" s="50" t="str">
        <f>IF(tblTasks[[#This Row],[案件ID]]="","",IF(tblTasks[[#This Row],[案件行]]="","（未登録の案件ID）",INDEX(tblCases[顧客名],tblTasks[[#This Row],[案件行]])&amp;""))</f>
        <v/>
      </c>
      <c r="D49" s="50" t="str">
        <f>IF(tblTasks[[#This Row],[案件行]]="","",INDEX(tblCases[案件名],tblTasks[[#This Row],[案件行]])&amp;"")</f>
        <v/>
      </c>
      <c r="E49" s="52" t="n"/>
      <c r="F49" s="51" t="n"/>
      <c r="G49" s="65" t="n"/>
      <c r="H49" s="52" t="n"/>
      <c r="I49" s="52" t="n"/>
      <c r="J4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49" s="59" t="n"/>
      <c r="L49" s="51" t="n"/>
      <c r="M4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49" s="61" t="str">
        <f>IFERROR(VALUE(MID(tblTasks[[#This Row],[タスクID]],2,20)),"")</f>
        <v/>
      </c>
      <c r="O49" s="61" t="str">
        <f>tblTasks[[#This Row],[案件ID]]&amp;"|"&amp;tblTasks[[#This Row],[ID番号]]</f>
        <v>|</v>
      </c>
      <c r="P49" s="61" t="str">
        <f>IF(tblTasks[[#This Row],[案件ID]]="","",IFERROR(MATCH(tblTasks[[#This Row],[案件ID]],tblCases[案件ID],0),""))</f>
        <v/>
      </c>
      <c r="Q49" s="61">
        <f>IF(tblTasks[[#This Row],[案件行]]="",0,INDEX(tblCases[連絡停止],tblTasks[[#This Row],[案件行]]))</f>
        <v>0</v>
      </c>
      <c r="R49" s="61" t="str">
        <f>IF(tblTasks[[#This Row],[案件行]]="","",INDEX(tblCases[状態区分],tblTasks[[#This Row],[案件行]])&amp;"")</f>
        <v/>
      </c>
      <c r="S49" s="61">
        <f>IF(AND(tblTasks[[#This Row],[タスクID]]&lt;&gt;"",OR(tblTasks[[#This Row],[状態]]="未着手",tblTasks[[#This Row],[状態]]="対応中")),1,0)</f>
        <v>0</v>
      </c>
      <c r="T4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4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49" s="61">
        <f>IF(OR(HomeStaff="",HomeStaff="全員",HomeStaff=tblTasks[[#This Row],[担当者]]),1,0)</f>
        <v>1</v>
      </c>
      <c r="W49" s="61">
        <f>IF(ISNUMBER(tblTasks[[#This Row],[期限日]]),INT(tblTasks[[#This Row],[期限日]]),99999)*100000+N(tblTasks[[#This Row],[ID番号]])</f>
        <v>9999900000</v>
      </c>
      <c r="X49" s="61">
        <f>IF(AND(OR(tblTasks[[#This Row],[表示区分]]="期限超過",tblTasks[[#This Row],[表示区分]]="本日"),tblTasks[[#This Row],[担当一致]]=1),1,0)</f>
        <v>0</v>
      </c>
      <c r="Y49" s="61" t="str">
        <f>IF(tblTasks[[#This Row],[一覧1対象]]=1,COUNTIFS(tblTasks[一覧1対象],1,tblTasks[並びキー],"&lt;"&amp;tblTasks[[#This Row],[並びキー]])+1,"")</f>
        <v/>
      </c>
      <c r="Z4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49" s="61" t="str">
        <f>IF(tblTasks[[#This Row],[一覧3対象]]=1,COUNTIFS(tblTasks[一覧3対象],1,tblTasks[並びキー],"&lt;"&amp;tblTasks[[#This Row],[並びキー]])+1,"")</f>
        <v/>
      </c>
      <c r="AB49" s="61">
        <f>IF(AND(tblTasks[[#This Row],[表示区分]]="今後",INT(N(tblTasks[[#This Row],[期限日]]))&lt;=RefDate+UpcomingDays,tblTasks[[#This Row],[担当一致]]=1),1,0)</f>
        <v>0</v>
      </c>
      <c r="AC49" s="61" t="str">
        <f>IF(tblTasks[[#This Row],[一覧4対象]]=1,COUNTIFS(tblTasks[一覧4対象],1,tblTasks[並びキー],"&lt;"&amp;tblTasks[[#This Row],[並びキー]])+1,"")</f>
        <v/>
      </c>
    </row>
    <row r="50">
      <c r="A50" s="49" t="n"/>
      <c r="B50" s="49" t="n"/>
      <c r="C50" s="50" t="str">
        <f>IF(tblTasks[[#This Row],[案件ID]]="","",IF(tblTasks[[#This Row],[案件行]]="","（未登録の案件ID）",INDEX(tblCases[顧客名],tblTasks[[#This Row],[案件行]])&amp;""))</f>
        <v/>
      </c>
      <c r="D50" s="50" t="str">
        <f>IF(tblTasks[[#This Row],[案件行]]="","",INDEX(tblCases[案件名],tblTasks[[#This Row],[案件行]])&amp;"")</f>
        <v/>
      </c>
      <c r="E50" s="52" t="n"/>
      <c r="F50" s="51" t="n"/>
      <c r="G50" s="65" t="n"/>
      <c r="H50" s="52" t="n"/>
      <c r="I50" s="52" t="n"/>
      <c r="J5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0" s="59" t="n"/>
      <c r="L50" s="51" t="n"/>
      <c r="M5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0" s="61" t="str">
        <f>IFERROR(VALUE(MID(tblTasks[[#This Row],[タスクID]],2,20)),"")</f>
        <v/>
      </c>
      <c r="O50" s="61" t="str">
        <f>tblTasks[[#This Row],[案件ID]]&amp;"|"&amp;tblTasks[[#This Row],[ID番号]]</f>
        <v>|</v>
      </c>
      <c r="P50" s="61" t="str">
        <f>IF(tblTasks[[#This Row],[案件ID]]="","",IFERROR(MATCH(tblTasks[[#This Row],[案件ID]],tblCases[案件ID],0),""))</f>
        <v/>
      </c>
      <c r="Q50" s="61">
        <f>IF(tblTasks[[#This Row],[案件行]]="",0,INDEX(tblCases[連絡停止],tblTasks[[#This Row],[案件行]]))</f>
        <v>0</v>
      </c>
      <c r="R50" s="61" t="str">
        <f>IF(tblTasks[[#This Row],[案件行]]="","",INDEX(tblCases[状態区分],tblTasks[[#This Row],[案件行]])&amp;"")</f>
        <v/>
      </c>
      <c r="S50" s="61">
        <f>IF(AND(tblTasks[[#This Row],[タスクID]]&lt;&gt;"",OR(tblTasks[[#This Row],[状態]]="未着手",tblTasks[[#This Row],[状態]]="対応中")),1,0)</f>
        <v>0</v>
      </c>
      <c r="T5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0" s="61">
        <f>IF(OR(HomeStaff="",HomeStaff="全員",HomeStaff=tblTasks[[#This Row],[担当者]]),1,0)</f>
        <v>1</v>
      </c>
      <c r="W50" s="61">
        <f>IF(ISNUMBER(tblTasks[[#This Row],[期限日]]),INT(tblTasks[[#This Row],[期限日]]),99999)*100000+N(tblTasks[[#This Row],[ID番号]])</f>
        <v>9999900000</v>
      </c>
      <c r="X50" s="61">
        <f>IF(AND(OR(tblTasks[[#This Row],[表示区分]]="期限超過",tblTasks[[#This Row],[表示区分]]="本日"),tblTasks[[#This Row],[担当一致]]=1),1,0)</f>
        <v>0</v>
      </c>
      <c r="Y50" s="61" t="str">
        <f>IF(tblTasks[[#This Row],[一覧1対象]]=1,COUNTIFS(tblTasks[一覧1対象],1,tblTasks[並びキー],"&lt;"&amp;tblTasks[[#This Row],[並びキー]])+1,"")</f>
        <v/>
      </c>
      <c r="Z5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0" s="61" t="str">
        <f>IF(tblTasks[[#This Row],[一覧3対象]]=1,COUNTIFS(tblTasks[一覧3対象],1,tblTasks[並びキー],"&lt;"&amp;tblTasks[[#This Row],[並びキー]])+1,"")</f>
        <v/>
      </c>
      <c r="AB50" s="61">
        <f>IF(AND(tblTasks[[#This Row],[表示区分]]="今後",INT(N(tblTasks[[#This Row],[期限日]]))&lt;=RefDate+UpcomingDays,tblTasks[[#This Row],[担当一致]]=1),1,0)</f>
        <v>0</v>
      </c>
      <c r="AC50" s="61" t="str">
        <f>IF(tblTasks[[#This Row],[一覧4対象]]=1,COUNTIFS(tblTasks[一覧4対象],1,tblTasks[並びキー],"&lt;"&amp;tblTasks[[#This Row],[並びキー]])+1,"")</f>
        <v/>
      </c>
    </row>
    <row r="51">
      <c r="A51" s="49" t="n"/>
      <c r="B51" s="49" t="n"/>
      <c r="C51" s="50" t="str">
        <f>IF(tblTasks[[#This Row],[案件ID]]="","",IF(tblTasks[[#This Row],[案件行]]="","（未登録の案件ID）",INDEX(tblCases[顧客名],tblTasks[[#This Row],[案件行]])&amp;""))</f>
        <v/>
      </c>
      <c r="D51" s="50" t="str">
        <f>IF(tblTasks[[#This Row],[案件行]]="","",INDEX(tblCases[案件名],tblTasks[[#This Row],[案件行]])&amp;"")</f>
        <v/>
      </c>
      <c r="E51" s="52" t="n"/>
      <c r="F51" s="51" t="n"/>
      <c r="G51" s="65" t="n"/>
      <c r="H51" s="52" t="n"/>
      <c r="I51" s="52" t="n"/>
      <c r="J5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1" s="59" t="n"/>
      <c r="L51" s="51" t="n"/>
      <c r="M5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1" s="61" t="str">
        <f>IFERROR(VALUE(MID(tblTasks[[#This Row],[タスクID]],2,20)),"")</f>
        <v/>
      </c>
      <c r="O51" s="61" t="str">
        <f>tblTasks[[#This Row],[案件ID]]&amp;"|"&amp;tblTasks[[#This Row],[ID番号]]</f>
        <v>|</v>
      </c>
      <c r="P51" s="61" t="str">
        <f>IF(tblTasks[[#This Row],[案件ID]]="","",IFERROR(MATCH(tblTasks[[#This Row],[案件ID]],tblCases[案件ID],0),""))</f>
        <v/>
      </c>
      <c r="Q51" s="61">
        <f>IF(tblTasks[[#This Row],[案件行]]="",0,INDEX(tblCases[連絡停止],tblTasks[[#This Row],[案件行]]))</f>
        <v>0</v>
      </c>
      <c r="R51" s="61" t="str">
        <f>IF(tblTasks[[#This Row],[案件行]]="","",INDEX(tblCases[状態区分],tblTasks[[#This Row],[案件行]])&amp;"")</f>
        <v/>
      </c>
      <c r="S51" s="61">
        <f>IF(AND(tblTasks[[#This Row],[タスクID]]&lt;&gt;"",OR(tblTasks[[#This Row],[状態]]="未着手",tblTasks[[#This Row],[状態]]="対応中")),1,0)</f>
        <v>0</v>
      </c>
      <c r="T5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1" s="61">
        <f>IF(OR(HomeStaff="",HomeStaff="全員",HomeStaff=tblTasks[[#This Row],[担当者]]),1,0)</f>
        <v>1</v>
      </c>
      <c r="W51" s="61">
        <f>IF(ISNUMBER(tblTasks[[#This Row],[期限日]]),INT(tblTasks[[#This Row],[期限日]]),99999)*100000+N(tblTasks[[#This Row],[ID番号]])</f>
        <v>9999900000</v>
      </c>
      <c r="X51" s="61">
        <f>IF(AND(OR(tblTasks[[#This Row],[表示区分]]="期限超過",tblTasks[[#This Row],[表示区分]]="本日"),tblTasks[[#This Row],[担当一致]]=1),1,0)</f>
        <v>0</v>
      </c>
      <c r="Y51" s="61" t="str">
        <f>IF(tblTasks[[#This Row],[一覧1対象]]=1,COUNTIFS(tblTasks[一覧1対象],1,tblTasks[並びキー],"&lt;"&amp;tblTasks[[#This Row],[並びキー]])+1,"")</f>
        <v/>
      </c>
      <c r="Z5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1" s="61" t="str">
        <f>IF(tblTasks[[#This Row],[一覧3対象]]=1,COUNTIFS(tblTasks[一覧3対象],1,tblTasks[並びキー],"&lt;"&amp;tblTasks[[#This Row],[並びキー]])+1,"")</f>
        <v/>
      </c>
      <c r="AB51" s="61">
        <f>IF(AND(tblTasks[[#This Row],[表示区分]]="今後",INT(N(tblTasks[[#This Row],[期限日]]))&lt;=RefDate+UpcomingDays,tblTasks[[#This Row],[担当一致]]=1),1,0)</f>
        <v>0</v>
      </c>
      <c r="AC51" s="61" t="str">
        <f>IF(tblTasks[[#This Row],[一覧4対象]]=1,COUNTIFS(tblTasks[一覧4対象],1,tblTasks[並びキー],"&lt;"&amp;tblTasks[[#This Row],[並びキー]])+1,"")</f>
        <v/>
      </c>
    </row>
    <row r="52">
      <c r="A52" s="49" t="n"/>
      <c r="B52" s="49" t="n"/>
      <c r="C52" s="50" t="str">
        <f>IF(tblTasks[[#This Row],[案件ID]]="","",IF(tblTasks[[#This Row],[案件行]]="","（未登録の案件ID）",INDEX(tblCases[顧客名],tblTasks[[#This Row],[案件行]])&amp;""))</f>
        <v/>
      </c>
      <c r="D52" s="50" t="str">
        <f>IF(tblTasks[[#This Row],[案件行]]="","",INDEX(tblCases[案件名],tblTasks[[#This Row],[案件行]])&amp;"")</f>
        <v/>
      </c>
      <c r="E52" s="52" t="n"/>
      <c r="F52" s="51" t="n"/>
      <c r="G52" s="65" t="n"/>
      <c r="H52" s="52" t="n"/>
      <c r="I52" s="52" t="n"/>
      <c r="J5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2" s="59" t="n"/>
      <c r="L52" s="51" t="n"/>
      <c r="M5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2" s="61" t="str">
        <f>IFERROR(VALUE(MID(tblTasks[[#This Row],[タスクID]],2,20)),"")</f>
        <v/>
      </c>
      <c r="O52" s="61" t="str">
        <f>tblTasks[[#This Row],[案件ID]]&amp;"|"&amp;tblTasks[[#This Row],[ID番号]]</f>
        <v>|</v>
      </c>
      <c r="P52" s="61" t="str">
        <f>IF(tblTasks[[#This Row],[案件ID]]="","",IFERROR(MATCH(tblTasks[[#This Row],[案件ID]],tblCases[案件ID],0),""))</f>
        <v/>
      </c>
      <c r="Q52" s="61">
        <f>IF(tblTasks[[#This Row],[案件行]]="",0,INDEX(tblCases[連絡停止],tblTasks[[#This Row],[案件行]]))</f>
        <v>0</v>
      </c>
      <c r="R52" s="61" t="str">
        <f>IF(tblTasks[[#This Row],[案件行]]="","",INDEX(tblCases[状態区分],tblTasks[[#This Row],[案件行]])&amp;"")</f>
        <v/>
      </c>
      <c r="S52" s="61">
        <f>IF(AND(tblTasks[[#This Row],[タスクID]]&lt;&gt;"",OR(tblTasks[[#This Row],[状態]]="未着手",tblTasks[[#This Row],[状態]]="対応中")),1,0)</f>
        <v>0</v>
      </c>
      <c r="T5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2" s="61">
        <f>IF(OR(HomeStaff="",HomeStaff="全員",HomeStaff=tblTasks[[#This Row],[担当者]]),1,0)</f>
        <v>1</v>
      </c>
      <c r="W52" s="61">
        <f>IF(ISNUMBER(tblTasks[[#This Row],[期限日]]),INT(tblTasks[[#This Row],[期限日]]),99999)*100000+N(tblTasks[[#This Row],[ID番号]])</f>
        <v>9999900000</v>
      </c>
      <c r="X52" s="61">
        <f>IF(AND(OR(tblTasks[[#This Row],[表示区分]]="期限超過",tblTasks[[#This Row],[表示区分]]="本日"),tblTasks[[#This Row],[担当一致]]=1),1,0)</f>
        <v>0</v>
      </c>
      <c r="Y52" s="61" t="str">
        <f>IF(tblTasks[[#This Row],[一覧1対象]]=1,COUNTIFS(tblTasks[一覧1対象],1,tblTasks[並びキー],"&lt;"&amp;tblTasks[[#This Row],[並びキー]])+1,"")</f>
        <v/>
      </c>
      <c r="Z5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2" s="61" t="str">
        <f>IF(tblTasks[[#This Row],[一覧3対象]]=1,COUNTIFS(tblTasks[一覧3対象],1,tblTasks[並びキー],"&lt;"&amp;tblTasks[[#This Row],[並びキー]])+1,"")</f>
        <v/>
      </c>
      <c r="AB52" s="61">
        <f>IF(AND(tblTasks[[#This Row],[表示区分]]="今後",INT(N(tblTasks[[#This Row],[期限日]]))&lt;=RefDate+UpcomingDays,tblTasks[[#This Row],[担当一致]]=1),1,0)</f>
        <v>0</v>
      </c>
      <c r="AC52" s="61" t="str">
        <f>IF(tblTasks[[#This Row],[一覧4対象]]=1,COUNTIFS(tblTasks[一覧4対象],1,tblTasks[並びキー],"&lt;"&amp;tblTasks[[#This Row],[並びキー]])+1,"")</f>
        <v/>
      </c>
    </row>
    <row r="53">
      <c r="A53" s="49" t="n"/>
      <c r="B53" s="49" t="n"/>
      <c r="C53" s="50" t="str">
        <f>IF(tblTasks[[#This Row],[案件ID]]="","",IF(tblTasks[[#This Row],[案件行]]="","（未登録の案件ID）",INDEX(tblCases[顧客名],tblTasks[[#This Row],[案件行]])&amp;""))</f>
        <v/>
      </c>
      <c r="D53" s="50" t="str">
        <f>IF(tblTasks[[#This Row],[案件行]]="","",INDEX(tblCases[案件名],tblTasks[[#This Row],[案件行]])&amp;"")</f>
        <v/>
      </c>
      <c r="E53" s="52" t="n"/>
      <c r="F53" s="51" t="n"/>
      <c r="G53" s="65" t="n"/>
      <c r="H53" s="52" t="n"/>
      <c r="I53" s="52" t="n"/>
      <c r="J5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3" s="59" t="n"/>
      <c r="L53" s="51" t="n"/>
      <c r="M5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3" s="61" t="str">
        <f>IFERROR(VALUE(MID(tblTasks[[#This Row],[タスクID]],2,20)),"")</f>
        <v/>
      </c>
      <c r="O53" s="61" t="str">
        <f>tblTasks[[#This Row],[案件ID]]&amp;"|"&amp;tblTasks[[#This Row],[ID番号]]</f>
        <v>|</v>
      </c>
      <c r="P53" s="61" t="str">
        <f>IF(tblTasks[[#This Row],[案件ID]]="","",IFERROR(MATCH(tblTasks[[#This Row],[案件ID]],tblCases[案件ID],0),""))</f>
        <v/>
      </c>
      <c r="Q53" s="61">
        <f>IF(tblTasks[[#This Row],[案件行]]="",0,INDEX(tblCases[連絡停止],tblTasks[[#This Row],[案件行]]))</f>
        <v>0</v>
      </c>
      <c r="R53" s="61" t="str">
        <f>IF(tblTasks[[#This Row],[案件行]]="","",INDEX(tblCases[状態区分],tblTasks[[#This Row],[案件行]])&amp;"")</f>
        <v/>
      </c>
      <c r="S53" s="61">
        <f>IF(AND(tblTasks[[#This Row],[タスクID]]&lt;&gt;"",OR(tblTasks[[#This Row],[状態]]="未着手",tblTasks[[#This Row],[状態]]="対応中")),1,0)</f>
        <v>0</v>
      </c>
      <c r="T5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3" s="61">
        <f>IF(OR(HomeStaff="",HomeStaff="全員",HomeStaff=tblTasks[[#This Row],[担当者]]),1,0)</f>
        <v>1</v>
      </c>
      <c r="W53" s="61">
        <f>IF(ISNUMBER(tblTasks[[#This Row],[期限日]]),INT(tblTasks[[#This Row],[期限日]]),99999)*100000+N(tblTasks[[#This Row],[ID番号]])</f>
        <v>9999900000</v>
      </c>
      <c r="X53" s="61">
        <f>IF(AND(OR(tblTasks[[#This Row],[表示区分]]="期限超過",tblTasks[[#This Row],[表示区分]]="本日"),tblTasks[[#This Row],[担当一致]]=1),1,0)</f>
        <v>0</v>
      </c>
      <c r="Y53" s="61" t="str">
        <f>IF(tblTasks[[#This Row],[一覧1対象]]=1,COUNTIFS(tblTasks[一覧1対象],1,tblTasks[並びキー],"&lt;"&amp;tblTasks[[#This Row],[並びキー]])+1,"")</f>
        <v/>
      </c>
      <c r="Z5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3" s="61" t="str">
        <f>IF(tblTasks[[#This Row],[一覧3対象]]=1,COUNTIFS(tblTasks[一覧3対象],1,tblTasks[並びキー],"&lt;"&amp;tblTasks[[#This Row],[並びキー]])+1,"")</f>
        <v/>
      </c>
      <c r="AB53" s="61">
        <f>IF(AND(tblTasks[[#This Row],[表示区分]]="今後",INT(N(tblTasks[[#This Row],[期限日]]))&lt;=RefDate+UpcomingDays,tblTasks[[#This Row],[担当一致]]=1),1,0)</f>
        <v>0</v>
      </c>
      <c r="AC53" s="61" t="str">
        <f>IF(tblTasks[[#This Row],[一覧4対象]]=1,COUNTIFS(tblTasks[一覧4対象],1,tblTasks[並びキー],"&lt;"&amp;tblTasks[[#This Row],[並びキー]])+1,"")</f>
        <v/>
      </c>
    </row>
    <row r="54">
      <c r="A54" s="49" t="n"/>
      <c r="B54" s="49" t="n"/>
      <c r="C54" s="50" t="str">
        <f>IF(tblTasks[[#This Row],[案件ID]]="","",IF(tblTasks[[#This Row],[案件行]]="","（未登録の案件ID）",INDEX(tblCases[顧客名],tblTasks[[#This Row],[案件行]])&amp;""))</f>
        <v/>
      </c>
      <c r="D54" s="50" t="str">
        <f>IF(tblTasks[[#This Row],[案件行]]="","",INDEX(tblCases[案件名],tblTasks[[#This Row],[案件行]])&amp;"")</f>
        <v/>
      </c>
      <c r="E54" s="52" t="n"/>
      <c r="F54" s="51" t="n"/>
      <c r="G54" s="65" t="n"/>
      <c r="H54" s="52" t="n"/>
      <c r="I54" s="52" t="n"/>
      <c r="J5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4" s="59" t="n"/>
      <c r="L54" s="51" t="n"/>
      <c r="M5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4" s="61" t="str">
        <f>IFERROR(VALUE(MID(tblTasks[[#This Row],[タスクID]],2,20)),"")</f>
        <v/>
      </c>
      <c r="O54" s="61" t="str">
        <f>tblTasks[[#This Row],[案件ID]]&amp;"|"&amp;tblTasks[[#This Row],[ID番号]]</f>
        <v>|</v>
      </c>
      <c r="P54" s="61" t="str">
        <f>IF(tblTasks[[#This Row],[案件ID]]="","",IFERROR(MATCH(tblTasks[[#This Row],[案件ID]],tblCases[案件ID],0),""))</f>
        <v/>
      </c>
      <c r="Q54" s="61">
        <f>IF(tblTasks[[#This Row],[案件行]]="",0,INDEX(tblCases[連絡停止],tblTasks[[#This Row],[案件行]]))</f>
        <v>0</v>
      </c>
      <c r="R54" s="61" t="str">
        <f>IF(tblTasks[[#This Row],[案件行]]="","",INDEX(tblCases[状態区分],tblTasks[[#This Row],[案件行]])&amp;"")</f>
        <v/>
      </c>
      <c r="S54" s="61">
        <f>IF(AND(tblTasks[[#This Row],[タスクID]]&lt;&gt;"",OR(tblTasks[[#This Row],[状態]]="未着手",tblTasks[[#This Row],[状態]]="対応中")),1,0)</f>
        <v>0</v>
      </c>
      <c r="T5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4" s="61">
        <f>IF(OR(HomeStaff="",HomeStaff="全員",HomeStaff=tblTasks[[#This Row],[担当者]]),1,0)</f>
        <v>1</v>
      </c>
      <c r="W54" s="61">
        <f>IF(ISNUMBER(tblTasks[[#This Row],[期限日]]),INT(tblTasks[[#This Row],[期限日]]),99999)*100000+N(tblTasks[[#This Row],[ID番号]])</f>
        <v>9999900000</v>
      </c>
      <c r="X54" s="61">
        <f>IF(AND(OR(tblTasks[[#This Row],[表示区分]]="期限超過",tblTasks[[#This Row],[表示区分]]="本日"),tblTasks[[#This Row],[担当一致]]=1),1,0)</f>
        <v>0</v>
      </c>
      <c r="Y54" s="61" t="str">
        <f>IF(tblTasks[[#This Row],[一覧1対象]]=1,COUNTIFS(tblTasks[一覧1対象],1,tblTasks[並びキー],"&lt;"&amp;tblTasks[[#This Row],[並びキー]])+1,"")</f>
        <v/>
      </c>
      <c r="Z5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4" s="61" t="str">
        <f>IF(tblTasks[[#This Row],[一覧3対象]]=1,COUNTIFS(tblTasks[一覧3対象],1,tblTasks[並びキー],"&lt;"&amp;tblTasks[[#This Row],[並びキー]])+1,"")</f>
        <v/>
      </c>
      <c r="AB54" s="61">
        <f>IF(AND(tblTasks[[#This Row],[表示区分]]="今後",INT(N(tblTasks[[#This Row],[期限日]]))&lt;=RefDate+UpcomingDays,tblTasks[[#This Row],[担当一致]]=1),1,0)</f>
        <v>0</v>
      </c>
      <c r="AC54" s="61" t="str">
        <f>IF(tblTasks[[#This Row],[一覧4対象]]=1,COUNTIFS(tblTasks[一覧4対象],1,tblTasks[並びキー],"&lt;"&amp;tblTasks[[#This Row],[並びキー]])+1,"")</f>
        <v/>
      </c>
    </row>
    <row r="55">
      <c r="A55" s="49" t="n"/>
      <c r="B55" s="49" t="n"/>
      <c r="C55" s="50" t="str">
        <f>IF(tblTasks[[#This Row],[案件ID]]="","",IF(tblTasks[[#This Row],[案件行]]="","（未登録の案件ID）",INDEX(tblCases[顧客名],tblTasks[[#This Row],[案件行]])&amp;""))</f>
        <v/>
      </c>
      <c r="D55" s="50" t="str">
        <f>IF(tblTasks[[#This Row],[案件行]]="","",INDEX(tblCases[案件名],tblTasks[[#This Row],[案件行]])&amp;"")</f>
        <v/>
      </c>
      <c r="E55" s="52" t="n"/>
      <c r="F55" s="51" t="n"/>
      <c r="G55" s="65" t="n"/>
      <c r="H55" s="52" t="n"/>
      <c r="I55" s="52" t="n"/>
      <c r="J5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5" s="59" t="n"/>
      <c r="L55" s="51" t="n"/>
      <c r="M5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5" s="61" t="str">
        <f>IFERROR(VALUE(MID(tblTasks[[#This Row],[タスクID]],2,20)),"")</f>
        <v/>
      </c>
      <c r="O55" s="61" t="str">
        <f>tblTasks[[#This Row],[案件ID]]&amp;"|"&amp;tblTasks[[#This Row],[ID番号]]</f>
        <v>|</v>
      </c>
      <c r="P55" s="61" t="str">
        <f>IF(tblTasks[[#This Row],[案件ID]]="","",IFERROR(MATCH(tblTasks[[#This Row],[案件ID]],tblCases[案件ID],0),""))</f>
        <v/>
      </c>
      <c r="Q55" s="61">
        <f>IF(tblTasks[[#This Row],[案件行]]="",0,INDEX(tblCases[連絡停止],tblTasks[[#This Row],[案件行]]))</f>
        <v>0</v>
      </c>
      <c r="R55" s="61" t="str">
        <f>IF(tblTasks[[#This Row],[案件行]]="","",INDEX(tblCases[状態区分],tblTasks[[#This Row],[案件行]])&amp;"")</f>
        <v/>
      </c>
      <c r="S55" s="61">
        <f>IF(AND(tblTasks[[#This Row],[タスクID]]&lt;&gt;"",OR(tblTasks[[#This Row],[状態]]="未着手",tblTasks[[#This Row],[状態]]="対応中")),1,0)</f>
        <v>0</v>
      </c>
      <c r="T5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5" s="61">
        <f>IF(OR(HomeStaff="",HomeStaff="全員",HomeStaff=tblTasks[[#This Row],[担当者]]),1,0)</f>
        <v>1</v>
      </c>
      <c r="W55" s="61">
        <f>IF(ISNUMBER(tblTasks[[#This Row],[期限日]]),INT(tblTasks[[#This Row],[期限日]]),99999)*100000+N(tblTasks[[#This Row],[ID番号]])</f>
        <v>9999900000</v>
      </c>
      <c r="X55" s="61">
        <f>IF(AND(OR(tblTasks[[#This Row],[表示区分]]="期限超過",tblTasks[[#This Row],[表示区分]]="本日"),tblTasks[[#This Row],[担当一致]]=1),1,0)</f>
        <v>0</v>
      </c>
      <c r="Y55" s="61" t="str">
        <f>IF(tblTasks[[#This Row],[一覧1対象]]=1,COUNTIFS(tblTasks[一覧1対象],1,tblTasks[並びキー],"&lt;"&amp;tblTasks[[#This Row],[並びキー]])+1,"")</f>
        <v/>
      </c>
      <c r="Z5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5" s="61" t="str">
        <f>IF(tblTasks[[#This Row],[一覧3対象]]=1,COUNTIFS(tblTasks[一覧3対象],1,tblTasks[並びキー],"&lt;"&amp;tblTasks[[#This Row],[並びキー]])+1,"")</f>
        <v/>
      </c>
      <c r="AB55" s="61">
        <f>IF(AND(tblTasks[[#This Row],[表示区分]]="今後",INT(N(tblTasks[[#This Row],[期限日]]))&lt;=RefDate+UpcomingDays,tblTasks[[#This Row],[担当一致]]=1),1,0)</f>
        <v>0</v>
      </c>
      <c r="AC55" s="61" t="str">
        <f>IF(tblTasks[[#This Row],[一覧4対象]]=1,COUNTIFS(tblTasks[一覧4対象],1,tblTasks[並びキー],"&lt;"&amp;tblTasks[[#This Row],[並びキー]])+1,"")</f>
        <v/>
      </c>
    </row>
    <row r="56">
      <c r="A56" s="49" t="n"/>
      <c r="B56" s="49" t="n"/>
      <c r="C56" s="50" t="str">
        <f>IF(tblTasks[[#This Row],[案件ID]]="","",IF(tblTasks[[#This Row],[案件行]]="","（未登録の案件ID）",INDEX(tblCases[顧客名],tblTasks[[#This Row],[案件行]])&amp;""))</f>
        <v/>
      </c>
      <c r="D56" s="50" t="str">
        <f>IF(tblTasks[[#This Row],[案件行]]="","",INDEX(tblCases[案件名],tblTasks[[#This Row],[案件行]])&amp;"")</f>
        <v/>
      </c>
      <c r="E56" s="52" t="n"/>
      <c r="F56" s="51" t="n"/>
      <c r="G56" s="65" t="n"/>
      <c r="H56" s="52" t="n"/>
      <c r="I56" s="52" t="n"/>
      <c r="J5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6" s="59" t="n"/>
      <c r="L56" s="51" t="n"/>
      <c r="M5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6" s="61" t="str">
        <f>IFERROR(VALUE(MID(tblTasks[[#This Row],[タスクID]],2,20)),"")</f>
        <v/>
      </c>
      <c r="O56" s="61" t="str">
        <f>tblTasks[[#This Row],[案件ID]]&amp;"|"&amp;tblTasks[[#This Row],[ID番号]]</f>
        <v>|</v>
      </c>
      <c r="P56" s="61" t="str">
        <f>IF(tblTasks[[#This Row],[案件ID]]="","",IFERROR(MATCH(tblTasks[[#This Row],[案件ID]],tblCases[案件ID],0),""))</f>
        <v/>
      </c>
      <c r="Q56" s="61">
        <f>IF(tblTasks[[#This Row],[案件行]]="",0,INDEX(tblCases[連絡停止],tblTasks[[#This Row],[案件行]]))</f>
        <v>0</v>
      </c>
      <c r="R56" s="61" t="str">
        <f>IF(tblTasks[[#This Row],[案件行]]="","",INDEX(tblCases[状態区分],tblTasks[[#This Row],[案件行]])&amp;"")</f>
        <v/>
      </c>
      <c r="S56" s="61">
        <f>IF(AND(tblTasks[[#This Row],[タスクID]]&lt;&gt;"",OR(tblTasks[[#This Row],[状態]]="未着手",tblTasks[[#This Row],[状態]]="対応中")),1,0)</f>
        <v>0</v>
      </c>
      <c r="T5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6" s="61">
        <f>IF(OR(HomeStaff="",HomeStaff="全員",HomeStaff=tblTasks[[#This Row],[担当者]]),1,0)</f>
        <v>1</v>
      </c>
      <c r="W56" s="61">
        <f>IF(ISNUMBER(tblTasks[[#This Row],[期限日]]),INT(tblTasks[[#This Row],[期限日]]),99999)*100000+N(tblTasks[[#This Row],[ID番号]])</f>
        <v>9999900000</v>
      </c>
      <c r="X56" s="61">
        <f>IF(AND(OR(tblTasks[[#This Row],[表示区分]]="期限超過",tblTasks[[#This Row],[表示区分]]="本日"),tblTasks[[#This Row],[担当一致]]=1),1,0)</f>
        <v>0</v>
      </c>
      <c r="Y56" s="61" t="str">
        <f>IF(tblTasks[[#This Row],[一覧1対象]]=1,COUNTIFS(tblTasks[一覧1対象],1,tblTasks[並びキー],"&lt;"&amp;tblTasks[[#This Row],[並びキー]])+1,"")</f>
        <v/>
      </c>
      <c r="Z5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6" s="61" t="str">
        <f>IF(tblTasks[[#This Row],[一覧3対象]]=1,COUNTIFS(tblTasks[一覧3対象],1,tblTasks[並びキー],"&lt;"&amp;tblTasks[[#This Row],[並びキー]])+1,"")</f>
        <v/>
      </c>
      <c r="AB56" s="61">
        <f>IF(AND(tblTasks[[#This Row],[表示区分]]="今後",INT(N(tblTasks[[#This Row],[期限日]]))&lt;=RefDate+UpcomingDays,tblTasks[[#This Row],[担当一致]]=1),1,0)</f>
        <v>0</v>
      </c>
      <c r="AC56" s="61" t="str">
        <f>IF(tblTasks[[#This Row],[一覧4対象]]=1,COUNTIFS(tblTasks[一覧4対象],1,tblTasks[並びキー],"&lt;"&amp;tblTasks[[#This Row],[並びキー]])+1,"")</f>
        <v/>
      </c>
    </row>
    <row r="57">
      <c r="A57" s="49" t="n"/>
      <c r="B57" s="49" t="n"/>
      <c r="C57" s="50" t="str">
        <f>IF(tblTasks[[#This Row],[案件ID]]="","",IF(tblTasks[[#This Row],[案件行]]="","（未登録の案件ID）",INDEX(tblCases[顧客名],tblTasks[[#This Row],[案件行]])&amp;""))</f>
        <v/>
      </c>
      <c r="D57" s="50" t="str">
        <f>IF(tblTasks[[#This Row],[案件行]]="","",INDEX(tblCases[案件名],tblTasks[[#This Row],[案件行]])&amp;"")</f>
        <v/>
      </c>
      <c r="E57" s="52" t="n"/>
      <c r="F57" s="51" t="n"/>
      <c r="G57" s="65" t="n"/>
      <c r="H57" s="52" t="n"/>
      <c r="I57" s="52" t="n"/>
      <c r="J5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7" s="59" t="n"/>
      <c r="L57" s="51" t="n"/>
      <c r="M5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7" s="61" t="str">
        <f>IFERROR(VALUE(MID(tblTasks[[#This Row],[タスクID]],2,20)),"")</f>
        <v/>
      </c>
      <c r="O57" s="61" t="str">
        <f>tblTasks[[#This Row],[案件ID]]&amp;"|"&amp;tblTasks[[#This Row],[ID番号]]</f>
        <v>|</v>
      </c>
      <c r="P57" s="61" t="str">
        <f>IF(tblTasks[[#This Row],[案件ID]]="","",IFERROR(MATCH(tblTasks[[#This Row],[案件ID]],tblCases[案件ID],0),""))</f>
        <v/>
      </c>
      <c r="Q57" s="61">
        <f>IF(tblTasks[[#This Row],[案件行]]="",0,INDEX(tblCases[連絡停止],tblTasks[[#This Row],[案件行]]))</f>
        <v>0</v>
      </c>
      <c r="R57" s="61" t="str">
        <f>IF(tblTasks[[#This Row],[案件行]]="","",INDEX(tblCases[状態区分],tblTasks[[#This Row],[案件行]])&amp;"")</f>
        <v/>
      </c>
      <c r="S57" s="61">
        <f>IF(AND(tblTasks[[#This Row],[タスクID]]&lt;&gt;"",OR(tblTasks[[#This Row],[状態]]="未着手",tblTasks[[#This Row],[状態]]="対応中")),1,0)</f>
        <v>0</v>
      </c>
      <c r="T5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7" s="61">
        <f>IF(OR(HomeStaff="",HomeStaff="全員",HomeStaff=tblTasks[[#This Row],[担当者]]),1,0)</f>
        <v>1</v>
      </c>
      <c r="W57" s="61">
        <f>IF(ISNUMBER(tblTasks[[#This Row],[期限日]]),INT(tblTasks[[#This Row],[期限日]]),99999)*100000+N(tblTasks[[#This Row],[ID番号]])</f>
        <v>9999900000</v>
      </c>
      <c r="X57" s="61">
        <f>IF(AND(OR(tblTasks[[#This Row],[表示区分]]="期限超過",tblTasks[[#This Row],[表示区分]]="本日"),tblTasks[[#This Row],[担当一致]]=1),1,0)</f>
        <v>0</v>
      </c>
      <c r="Y57" s="61" t="str">
        <f>IF(tblTasks[[#This Row],[一覧1対象]]=1,COUNTIFS(tblTasks[一覧1対象],1,tblTasks[並びキー],"&lt;"&amp;tblTasks[[#This Row],[並びキー]])+1,"")</f>
        <v/>
      </c>
      <c r="Z5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7" s="61" t="str">
        <f>IF(tblTasks[[#This Row],[一覧3対象]]=1,COUNTIFS(tblTasks[一覧3対象],1,tblTasks[並びキー],"&lt;"&amp;tblTasks[[#This Row],[並びキー]])+1,"")</f>
        <v/>
      </c>
      <c r="AB57" s="61">
        <f>IF(AND(tblTasks[[#This Row],[表示区分]]="今後",INT(N(tblTasks[[#This Row],[期限日]]))&lt;=RefDate+UpcomingDays,tblTasks[[#This Row],[担当一致]]=1),1,0)</f>
        <v>0</v>
      </c>
      <c r="AC57" s="61" t="str">
        <f>IF(tblTasks[[#This Row],[一覧4対象]]=1,COUNTIFS(tblTasks[一覧4対象],1,tblTasks[並びキー],"&lt;"&amp;tblTasks[[#This Row],[並びキー]])+1,"")</f>
        <v/>
      </c>
    </row>
    <row r="58">
      <c r="A58" s="49" t="n"/>
      <c r="B58" s="49" t="n"/>
      <c r="C58" s="50" t="str">
        <f>IF(tblTasks[[#This Row],[案件ID]]="","",IF(tblTasks[[#This Row],[案件行]]="","（未登録の案件ID）",INDEX(tblCases[顧客名],tblTasks[[#This Row],[案件行]])&amp;""))</f>
        <v/>
      </c>
      <c r="D58" s="50" t="str">
        <f>IF(tblTasks[[#This Row],[案件行]]="","",INDEX(tblCases[案件名],tblTasks[[#This Row],[案件行]])&amp;"")</f>
        <v/>
      </c>
      <c r="E58" s="52" t="n"/>
      <c r="F58" s="51" t="n"/>
      <c r="G58" s="65" t="n"/>
      <c r="H58" s="52" t="n"/>
      <c r="I58" s="52" t="n"/>
      <c r="J5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8" s="59" t="n"/>
      <c r="L58" s="51" t="n"/>
      <c r="M5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8" s="61" t="str">
        <f>IFERROR(VALUE(MID(tblTasks[[#This Row],[タスクID]],2,20)),"")</f>
        <v/>
      </c>
      <c r="O58" s="61" t="str">
        <f>tblTasks[[#This Row],[案件ID]]&amp;"|"&amp;tblTasks[[#This Row],[ID番号]]</f>
        <v>|</v>
      </c>
      <c r="P58" s="61" t="str">
        <f>IF(tblTasks[[#This Row],[案件ID]]="","",IFERROR(MATCH(tblTasks[[#This Row],[案件ID]],tblCases[案件ID],0),""))</f>
        <v/>
      </c>
      <c r="Q58" s="61">
        <f>IF(tblTasks[[#This Row],[案件行]]="",0,INDEX(tblCases[連絡停止],tblTasks[[#This Row],[案件行]]))</f>
        <v>0</v>
      </c>
      <c r="R58" s="61" t="str">
        <f>IF(tblTasks[[#This Row],[案件行]]="","",INDEX(tblCases[状態区分],tblTasks[[#This Row],[案件行]])&amp;"")</f>
        <v/>
      </c>
      <c r="S58" s="61">
        <f>IF(AND(tblTasks[[#This Row],[タスクID]]&lt;&gt;"",OR(tblTasks[[#This Row],[状態]]="未着手",tblTasks[[#This Row],[状態]]="対応中")),1,0)</f>
        <v>0</v>
      </c>
      <c r="T5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8" s="61">
        <f>IF(OR(HomeStaff="",HomeStaff="全員",HomeStaff=tblTasks[[#This Row],[担当者]]),1,0)</f>
        <v>1</v>
      </c>
      <c r="W58" s="61">
        <f>IF(ISNUMBER(tblTasks[[#This Row],[期限日]]),INT(tblTasks[[#This Row],[期限日]]),99999)*100000+N(tblTasks[[#This Row],[ID番号]])</f>
        <v>9999900000</v>
      </c>
      <c r="X58" s="61">
        <f>IF(AND(OR(tblTasks[[#This Row],[表示区分]]="期限超過",tblTasks[[#This Row],[表示区分]]="本日"),tblTasks[[#This Row],[担当一致]]=1),1,0)</f>
        <v>0</v>
      </c>
      <c r="Y58" s="61" t="str">
        <f>IF(tblTasks[[#This Row],[一覧1対象]]=1,COUNTIFS(tblTasks[一覧1対象],1,tblTasks[並びキー],"&lt;"&amp;tblTasks[[#This Row],[並びキー]])+1,"")</f>
        <v/>
      </c>
      <c r="Z5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8" s="61" t="str">
        <f>IF(tblTasks[[#This Row],[一覧3対象]]=1,COUNTIFS(tblTasks[一覧3対象],1,tblTasks[並びキー],"&lt;"&amp;tblTasks[[#This Row],[並びキー]])+1,"")</f>
        <v/>
      </c>
      <c r="AB58" s="61">
        <f>IF(AND(tblTasks[[#This Row],[表示区分]]="今後",INT(N(tblTasks[[#This Row],[期限日]]))&lt;=RefDate+UpcomingDays,tblTasks[[#This Row],[担当一致]]=1),1,0)</f>
        <v>0</v>
      </c>
      <c r="AC58" s="61" t="str">
        <f>IF(tblTasks[[#This Row],[一覧4対象]]=1,COUNTIFS(tblTasks[一覧4対象],1,tblTasks[並びキー],"&lt;"&amp;tblTasks[[#This Row],[並びキー]])+1,"")</f>
        <v/>
      </c>
    </row>
    <row r="59">
      <c r="A59" s="49" t="n"/>
      <c r="B59" s="49" t="n"/>
      <c r="C59" s="50" t="str">
        <f>IF(tblTasks[[#This Row],[案件ID]]="","",IF(tblTasks[[#This Row],[案件行]]="","（未登録の案件ID）",INDEX(tblCases[顧客名],tblTasks[[#This Row],[案件行]])&amp;""))</f>
        <v/>
      </c>
      <c r="D59" s="50" t="str">
        <f>IF(tblTasks[[#This Row],[案件行]]="","",INDEX(tblCases[案件名],tblTasks[[#This Row],[案件行]])&amp;"")</f>
        <v/>
      </c>
      <c r="E59" s="52" t="n"/>
      <c r="F59" s="51" t="n"/>
      <c r="G59" s="65" t="n"/>
      <c r="H59" s="52" t="n"/>
      <c r="I59" s="52" t="n"/>
      <c r="J5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59" s="59" t="n"/>
      <c r="L59" s="51" t="n"/>
      <c r="M5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59" s="61" t="str">
        <f>IFERROR(VALUE(MID(tblTasks[[#This Row],[タスクID]],2,20)),"")</f>
        <v/>
      </c>
      <c r="O59" s="61" t="str">
        <f>tblTasks[[#This Row],[案件ID]]&amp;"|"&amp;tblTasks[[#This Row],[ID番号]]</f>
        <v>|</v>
      </c>
      <c r="P59" s="61" t="str">
        <f>IF(tblTasks[[#This Row],[案件ID]]="","",IFERROR(MATCH(tblTasks[[#This Row],[案件ID]],tblCases[案件ID],0),""))</f>
        <v/>
      </c>
      <c r="Q59" s="61">
        <f>IF(tblTasks[[#This Row],[案件行]]="",0,INDEX(tblCases[連絡停止],tblTasks[[#This Row],[案件行]]))</f>
        <v>0</v>
      </c>
      <c r="R59" s="61" t="str">
        <f>IF(tblTasks[[#This Row],[案件行]]="","",INDEX(tblCases[状態区分],tblTasks[[#This Row],[案件行]])&amp;"")</f>
        <v/>
      </c>
      <c r="S59" s="61">
        <f>IF(AND(tblTasks[[#This Row],[タスクID]]&lt;&gt;"",OR(tblTasks[[#This Row],[状態]]="未着手",tblTasks[[#This Row],[状態]]="対応中")),1,0)</f>
        <v>0</v>
      </c>
      <c r="T5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5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59" s="61">
        <f>IF(OR(HomeStaff="",HomeStaff="全員",HomeStaff=tblTasks[[#This Row],[担当者]]),1,0)</f>
        <v>1</v>
      </c>
      <c r="W59" s="61">
        <f>IF(ISNUMBER(tblTasks[[#This Row],[期限日]]),INT(tblTasks[[#This Row],[期限日]]),99999)*100000+N(tblTasks[[#This Row],[ID番号]])</f>
        <v>9999900000</v>
      </c>
      <c r="X59" s="61">
        <f>IF(AND(OR(tblTasks[[#This Row],[表示区分]]="期限超過",tblTasks[[#This Row],[表示区分]]="本日"),tblTasks[[#This Row],[担当一致]]=1),1,0)</f>
        <v>0</v>
      </c>
      <c r="Y59" s="61" t="str">
        <f>IF(tblTasks[[#This Row],[一覧1対象]]=1,COUNTIFS(tblTasks[一覧1対象],1,tblTasks[並びキー],"&lt;"&amp;tblTasks[[#This Row],[並びキー]])+1,"")</f>
        <v/>
      </c>
      <c r="Z5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59" s="61" t="str">
        <f>IF(tblTasks[[#This Row],[一覧3対象]]=1,COUNTIFS(tblTasks[一覧3対象],1,tblTasks[並びキー],"&lt;"&amp;tblTasks[[#This Row],[並びキー]])+1,"")</f>
        <v/>
      </c>
      <c r="AB59" s="61">
        <f>IF(AND(tblTasks[[#This Row],[表示区分]]="今後",INT(N(tblTasks[[#This Row],[期限日]]))&lt;=RefDate+UpcomingDays,tblTasks[[#This Row],[担当一致]]=1),1,0)</f>
        <v>0</v>
      </c>
      <c r="AC59" s="61" t="str">
        <f>IF(tblTasks[[#This Row],[一覧4対象]]=1,COUNTIFS(tblTasks[一覧4対象],1,tblTasks[並びキー],"&lt;"&amp;tblTasks[[#This Row],[並びキー]])+1,"")</f>
        <v/>
      </c>
    </row>
    <row r="60">
      <c r="A60" s="49" t="n"/>
      <c r="B60" s="49" t="n"/>
      <c r="C60" s="50" t="str">
        <f>IF(tblTasks[[#This Row],[案件ID]]="","",IF(tblTasks[[#This Row],[案件行]]="","（未登録の案件ID）",INDEX(tblCases[顧客名],tblTasks[[#This Row],[案件行]])&amp;""))</f>
        <v/>
      </c>
      <c r="D60" s="50" t="str">
        <f>IF(tblTasks[[#This Row],[案件行]]="","",INDEX(tblCases[案件名],tblTasks[[#This Row],[案件行]])&amp;"")</f>
        <v/>
      </c>
      <c r="E60" s="52" t="n"/>
      <c r="F60" s="51" t="n"/>
      <c r="G60" s="65" t="n"/>
      <c r="H60" s="52" t="n"/>
      <c r="I60" s="52" t="n"/>
      <c r="J6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0" s="59" t="n"/>
      <c r="L60" s="51" t="n"/>
      <c r="M6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0" s="61" t="str">
        <f>IFERROR(VALUE(MID(tblTasks[[#This Row],[タスクID]],2,20)),"")</f>
        <v/>
      </c>
      <c r="O60" s="61" t="str">
        <f>tblTasks[[#This Row],[案件ID]]&amp;"|"&amp;tblTasks[[#This Row],[ID番号]]</f>
        <v>|</v>
      </c>
      <c r="P60" s="61" t="str">
        <f>IF(tblTasks[[#This Row],[案件ID]]="","",IFERROR(MATCH(tblTasks[[#This Row],[案件ID]],tblCases[案件ID],0),""))</f>
        <v/>
      </c>
      <c r="Q60" s="61">
        <f>IF(tblTasks[[#This Row],[案件行]]="",0,INDEX(tblCases[連絡停止],tblTasks[[#This Row],[案件行]]))</f>
        <v>0</v>
      </c>
      <c r="R60" s="61" t="str">
        <f>IF(tblTasks[[#This Row],[案件行]]="","",INDEX(tblCases[状態区分],tblTasks[[#This Row],[案件行]])&amp;"")</f>
        <v/>
      </c>
      <c r="S60" s="61">
        <f>IF(AND(tblTasks[[#This Row],[タスクID]]&lt;&gt;"",OR(tblTasks[[#This Row],[状態]]="未着手",tblTasks[[#This Row],[状態]]="対応中")),1,0)</f>
        <v>0</v>
      </c>
      <c r="T6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0" s="61">
        <f>IF(OR(HomeStaff="",HomeStaff="全員",HomeStaff=tblTasks[[#This Row],[担当者]]),1,0)</f>
        <v>1</v>
      </c>
      <c r="W60" s="61">
        <f>IF(ISNUMBER(tblTasks[[#This Row],[期限日]]),INT(tblTasks[[#This Row],[期限日]]),99999)*100000+N(tblTasks[[#This Row],[ID番号]])</f>
        <v>9999900000</v>
      </c>
      <c r="X60" s="61">
        <f>IF(AND(OR(tblTasks[[#This Row],[表示区分]]="期限超過",tblTasks[[#This Row],[表示区分]]="本日"),tblTasks[[#This Row],[担当一致]]=1),1,0)</f>
        <v>0</v>
      </c>
      <c r="Y60" s="61" t="str">
        <f>IF(tblTasks[[#This Row],[一覧1対象]]=1,COUNTIFS(tblTasks[一覧1対象],1,tblTasks[並びキー],"&lt;"&amp;tblTasks[[#This Row],[並びキー]])+1,"")</f>
        <v/>
      </c>
      <c r="Z6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0" s="61" t="str">
        <f>IF(tblTasks[[#This Row],[一覧3対象]]=1,COUNTIFS(tblTasks[一覧3対象],1,tblTasks[並びキー],"&lt;"&amp;tblTasks[[#This Row],[並びキー]])+1,"")</f>
        <v/>
      </c>
      <c r="AB60" s="61">
        <f>IF(AND(tblTasks[[#This Row],[表示区分]]="今後",INT(N(tblTasks[[#This Row],[期限日]]))&lt;=RefDate+UpcomingDays,tblTasks[[#This Row],[担当一致]]=1),1,0)</f>
        <v>0</v>
      </c>
      <c r="AC60" s="61" t="str">
        <f>IF(tblTasks[[#This Row],[一覧4対象]]=1,COUNTIFS(tblTasks[一覧4対象],1,tblTasks[並びキー],"&lt;"&amp;tblTasks[[#This Row],[並びキー]])+1,"")</f>
        <v/>
      </c>
    </row>
    <row r="61">
      <c r="A61" s="49" t="n"/>
      <c r="B61" s="49" t="n"/>
      <c r="C61" s="50" t="str">
        <f>IF(tblTasks[[#This Row],[案件ID]]="","",IF(tblTasks[[#This Row],[案件行]]="","（未登録の案件ID）",INDEX(tblCases[顧客名],tblTasks[[#This Row],[案件行]])&amp;""))</f>
        <v/>
      </c>
      <c r="D61" s="50" t="str">
        <f>IF(tblTasks[[#This Row],[案件行]]="","",INDEX(tblCases[案件名],tblTasks[[#This Row],[案件行]])&amp;"")</f>
        <v/>
      </c>
      <c r="E61" s="52" t="n"/>
      <c r="F61" s="51" t="n"/>
      <c r="G61" s="65" t="n"/>
      <c r="H61" s="52" t="n"/>
      <c r="I61" s="52" t="n"/>
      <c r="J6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1" s="59" t="n"/>
      <c r="L61" s="51" t="n"/>
      <c r="M6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1" s="61" t="str">
        <f>IFERROR(VALUE(MID(tblTasks[[#This Row],[タスクID]],2,20)),"")</f>
        <v/>
      </c>
      <c r="O61" s="61" t="str">
        <f>tblTasks[[#This Row],[案件ID]]&amp;"|"&amp;tblTasks[[#This Row],[ID番号]]</f>
        <v>|</v>
      </c>
      <c r="P61" s="61" t="str">
        <f>IF(tblTasks[[#This Row],[案件ID]]="","",IFERROR(MATCH(tblTasks[[#This Row],[案件ID]],tblCases[案件ID],0),""))</f>
        <v/>
      </c>
      <c r="Q61" s="61">
        <f>IF(tblTasks[[#This Row],[案件行]]="",0,INDEX(tblCases[連絡停止],tblTasks[[#This Row],[案件行]]))</f>
        <v>0</v>
      </c>
      <c r="R61" s="61" t="str">
        <f>IF(tblTasks[[#This Row],[案件行]]="","",INDEX(tblCases[状態区分],tblTasks[[#This Row],[案件行]])&amp;"")</f>
        <v/>
      </c>
      <c r="S61" s="61">
        <f>IF(AND(tblTasks[[#This Row],[タスクID]]&lt;&gt;"",OR(tblTasks[[#This Row],[状態]]="未着手",tblTasks[[#This Row],[状態]]="対応中")),1,0)</f>
        <v>0</v>
      </c>
      <c r="T6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1" s="61">
        <f>IF(OR(HomeStaff="",HomeStaff="全員",HomeStaff=tblTasks[[#This Row],[担当者]]),1,0)</f>
        <v>1</v>
      </c>
      <c r="W61" s="61">
        <f>IF(ISNUMBER(tblTasks[[#This Row],[期限日]]),INT(tblTasks[[#This Row],[期限日]]),99999)*100000+N(tblTasks[[#This Row],[ID番号]])</f>
        <v>9999900000</v>
      </c>
      <c r="X61" s="61">
        <f>IF(AND(OR(tblTasks[[#This Row],[表示区分]]="期限超過",tblTasks[[#This Row],[表示区分]]="本日"),tblTasks[[#This Row],[担当一致]]=1),1,0)</f>
        <v>0</v>
      </c>
      <c r="Y61" s="61" t="str">
        <f>IF(tblTasks[[#This Row],[一覧1対象]]=1,COUNTIFS(tblTasks[一覧1対象],1,tblTasks[並びキー],"&lt;"&amp;tblTasks[[#This Row],[並びキー]])+1,"")</f>
        <v/>
      </c>
      <c r="Z6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1" s="61" t="str">
        <f>IF(tblTasks[[#This Row],[一覧3対象]]=1,COUNTIFS(tblTasks[一覧3対象],1,tblTasks[並びキー],"&lt;"&amp;tblTasks[[#This Row],[並びキー]])+1,"")</f>
        <v/>
      </c>
      <c r="AB61" s="61">
        <f>IF(AND(tblTasks[[#This Row],[表示区分]]="今後",INT(N(tblTasks[[#This Row],[期限日]]))&lt;=RefDate+UpcomingDays,tblTasks[[#This Row],[担当一致]]=1),1,0)</f>
        <v>0</v>
      </c>
      <c r="AC61" s="61" t="str">
        <f>IF(tblTasks[[#This Row],[一覧4対象]]=1,COUNTIFS(tblTasks[一覧4対象],1,tblTasks[並びキー],"&lt;"&amp;tblTasks[[#This Row],[並びキー]])+1,"")</f>
        <v/>
      </c>
    </row>
    <row r="62">
      <c r="A62" s="49" t="n"/>
      <c r="B62" s="49" t="n"/>
      <c r="C62" s="50" t="str">
        <f>IF(tblTasks[[#This Row],[案件ID]]="","",IF(tblTasks[[#This Row],[案件行]]="","（未登録の案件ID）",INDEX(tblCases[顧客名],tblTasks[[#This Row],[案件行]])&amp;""))</f>
        <v/>
      </c>
      <c r="D62" s="50" t="str">
        <f>IF(tblTasks[[#This Row],[案件行]]="","",INDEX(tblCases[案件名],tblTasks[[#This Row],[案件行]])&amp;"")</f>
        <v/>
      </c>
      <c r="E62" s="52" t="n"/>
      <c r="F62" s="51" t="n"/>
      <c r="G62" s="65" t="n"/>
      <c r="H62" s="52" t="n"/>
      <c r="I62" s="52" t="n"/>
      <c r="J6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2" s="59" t="n"/>
      <c r="L62" s="51" t="n"/>
      <c r="M6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2" s="61" t="str">
        <f>IFERROR(VALUE(MID(tblTasks[[#This Row],[タスクID]],2,20)),"")</f>
        <v/>
      </c>
      <c r="O62" s="61" t="str">
        <f>tblTasks[[#This Row],[案件ID]]&amp;"|"&amp;tblTasks[[#This Row],[ID番号]]</f>
        <v>|</v>
      </c>
      <c r="P62" s="61" t="str">
        <f>IF(tblTasks[[#This Row],[案件ID]]="","",IFERROR(MATCH(tblTasks[[#This Row],[案件ID]],tblCases[案件ID],0),""))</f>
        <v/>
      </c>
      <c r="Q62" s="61">
        <f>IF(tblTasks[[#This Row],[案件行]]="",0,INDEX(tblCases[連絡停止],tblTasks[[#This Row],[案件行]]))</f>
        <v>0</v>
      </c>
      <c r="R62" s="61" t="str">
        <f>IF(tblTasks[[#This Row],[案件行]]="","",INDEX(tblCases[状態区分],tblTasks[[#This Row],[案件行]])&amp;"")</f>
        <v/>
      </c>
      <c r="S62" s="61">
        <f>IF(AND(tblTasks[[#This Row],[タスクID]]&lt;&gt;"",OR(tblTasks[[#This Row],[状態]]="未着手",tblTasks[[#This Row],[状態]]="対応中")),1,0)</f>
        <v>0</v>
      </c>
      <c r="T6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2" s="61">
        <f>IF(OR(HomeStaff="",HomeStaff="全員",HomeStaff=tblTasks[[#This Row],[担当者]]),1,0)</f>
        <v>1</v>
      </c>
      <c r="W62" s="61">
        <f>IF(ISNUMBER(tblTasks[[#This Row],[期限日]]),INT(tblTasks[[#This Row],[期限日]]),99999)*100000+N(tblTasks[[#This Row],[ID番号]])</f>
        <v>9999900000</v>
      </c>
      <c r="X62" s="61">
        <f>IF(AND(OR(tblTasks[[#This Row],[表示区分]]="期限超過",tblTasks[[#This Row],[表示区分]]="本日"),tblTasks[[#This Row],[担当一致]]=1),1,0)</f>
        <v>0</v>
      </c>
      <c r="Y62" s="61" t="str">
        <f>IF(tblTasks[[#This Row],[一覧1対象]]=1,COUNTIFS(tblTasks[一覧1対象],1,tblTasks[並びキー],"&lt;"&amp;tblTasks[[#This Row],[並びキー]])+1,"")</f>
        <v/>
      </c>
      <c r="Z6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2" s="61" t="str">
        <f>IF(tblTasks[[#This Row],[一覧3対象]]=1,COUNTIFS(tblTasks[一覧3対象],1,tblTasks[並びキー],"&lt;"&amp;tblTasks[[#This Row],[並びキー]])+1,"")</f>
        <v/>
      </c>
      <c r="AB62" s="61">
        <f>IF(AND(tblTasks[[#This Row],[表示区分]]="今後",INT(N(tblTasks[[#This Row],[期限日]]))&lt;=RefDate+UpcomingDays,tblTasks[[#This Row],[担当一致]]=1),1,0)</f>
        <v>0</v>
      </c>
      <c r="AC62" s="61" t="str">
        <f>IF(tblTasks[[#This Row],[一覧4対象]]=1,COUNTIFS(tblTasks[一覧4対象],1,tblTasks[並びキー],"&lt;"&amp;tblTasks[[#This Row],[並びキー]])+1,"")</f>
        <v/>
      </c>
    </row>
    <row r="63">
      <c r="A63" s="49" t="n"/>
      <c r="B63" s="49" t="n"/>
      <c r="C63" s="50" t="str">
        <f>IF(tblTasks[[#This Row],[案件ID]]="","",IF(tblTasks[[#This Row],[案件行]]="","（未登録の案件ID）",INDEX(tblCases[顧客名],tblTasks[[#This Row],[案件行]])&amp;""))</f>
        <v/>
      </c>
      <c r="D63" s="50" t="str">
        <f>IF(tblTasks[[#This Row],[案件行]]="","",INDEX(tblCases[案件名],tblTasks[[#This Row],[案件行]])&amp;"")</f>
        <v/>
      </c>
      <c r="E63" s="52" t="n"/>
      <c r="F63" s="51" t="n"/>
      <c r="G63" s="65" t="n"/>
      <c r="H63" s="52" t="n"/>
      <c r="I63" s="52" t="n"/>
      <c r="J6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3" s="59" t="n"/>
      <c r="L63" s="51" t="n"/>
      <c r="M6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3" s="61" t="str">
        <f>IFERROR(VALUE(MID(tblTasks[[#This Row],[タスクID]],2,20)),"")</f>
        <v/>
      </c>
      <c r="O63" s="61" t="str">
        <f>tblTasks[[#This Row],[案件ID]]&amp;"|"&amp;tblTasks[[#This Row],[ID番号]]</f>
        <v>|</v>
      </c>
      <c r="P63" s="61" t="str">
        <f>IF(tblTasks[[#This Row],[案件ID]]="","",IFERROR(MATCH(tblTasks[[#This Row],[案件ID]],tblCases[案件ID],0),""))</f>
        <v/>
      </c>
      <c r="Q63" s="61">
        <f>IF(tblTasks[[#This Row],[案件行]]="",0,INDEX(tblCases[連絡停止],tblTasks[[#This Row],[案件行]]))</f>
        <v>0</v>
      </c>
      <c r="R63" s="61" t="str">
        <f>IF(tblTasks[[#This Row],[案件行]]="","",INDEX(tblCases[状態区分],tblTasks[[#This Row],[案件行]])&amp;"")</f>
        <v/>
      </c>
      <c r="S63" s="61">
        <f>IF(AND(tblTasks[[#This Row],[タスクID]]&lt;&gt;"",OR(tblTasks[[#This Row],[状態]]="未着手",tblTasks[[#This Row],[状態]]="対応中")),1,0)</f>
        <v>0</v>
      </c>
      <c r="T6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3" s="61">
        <f>IF(OR(HomeStaff="",HomeStaff="全員",HomeStaff=tblTasks[[#This Row],[担当者]]),1,0)</f>
        <v>1</v>
      </c>
      <c r="W63" s="61">
        <f>IF(ISNUMBER(tblTasks[[#This Row],[期限日]]),INT(tblTasks[[#This Row],[期限日]]),99999)*100000+N(tblTasks[[#This Row],[ID番号]])</f>
        <v>9999900000</v>
      </c>
      <c r="X63" s="61">
        <f>IF(AND(OR(tblTasks[[#This Row],[表示区分]]="期限超過",tblTasks[[#This Row],[表示区分]]="本日"),tblTasks[[#This Row],[担当一致]]=1),1,0)</f>
        <v>0</v>
      </c>
      <c r="Y63" s="61" t="str">
        <f>IF(tblTasks[[#This Row],[一覧1対象]]=1,COUNTIFS(tblTasks[一覧1対象],1,tblTasks[並びキー],"&lt;"&amp;tblTasks[[#This Row],[並びキー]])+1,"")</f>
        <v/>
      </c>
      <c r="Z6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3" s="61" t="str">
        <f>IF(tblTasks[[#This Row],[一覧3対象]]=1,COUNTIFS(tblTasks[一覧3対象],1,tblTasks[並びキー],"&lt;"&amp;tblTasks[[#This Row],[並びキー]])+1,"")</f>
        <v/>
      </c>
      <c r="AB63" s="61">
        <f>IF(AND(tblTasks[[#This Row],[表示区分]]="今後",INT(N(tblTasks[[#This Row],[期限日]]))&lt;=RefDate+UpcomingDays,tblTasks[[#This Row],[担当一致]]=1),1,0)</f>
        <v>0</v>
      </c>
      <c r="AC63" s="61" t="str">
        <f>IF(tblTasks[[#This Row],[一覧4対象]]=1,COUNTIFS(tblTasks[一覧4対象],1,tblTasks[並びキー],"&lt;"&amp;tblTasks[[#This Row],[並びキー]])+1,"")</f>
        <v/>
      </c>
    </row>
    <row r="64">
      <c r="A64" s="49" t="n"/>
      <c r="B64" s="49" t="n"/>
      <c r="C64" s="50" t="str">
        <f>IF(tblTasks[[#This Row],[案件ID]]="","",IF(tblTasks[[#This Row],[案件行]]="","（未登録の案件ID）",INDEX(tblCases[顧客名],tblTasks[[#This Row],[案件行]])&amp;""))</f>
        <v/>
      </c>
      <c r="D64" s="50" t="str">
        <f>IF(tblTasks[[#This Row],[案件行]]="","",INDEX(tblCases[案件名],tblTasks[[#This Row],[案件行]])&amp;"")</f>
        <v/>
      </c>
      <c r="E64" s="52" t="n"/>
      <c r="F64" s="51" t="n"/>
      <c r="G64" s="65" t="n"/>
      <c r="H64" s="52" t="n"/>
      <c r="I64" s="52" t="n"/>
      <c r="J6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4" s="59" t="n"/>
      <c r="L64" s="51" t="n"/>
      <c r="M6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4" s="61" t="str">
        <f>IFERROR(VALUE(MID(tblTasks[[#This Row],[タスクID]],2,20)),"")</f>
        <v/>
      </c>
      <c r="O64" s="61" t="str">
        <f>tblTasks[[#This Row],[案件ID]]&amp;"|"&amp;tblTasks[[#This Row],[ID番号]]</f>
        <v>|</v>
      </c>
      <c r="P64" s="61" t="str">
        <f>IF(tblTasks[[#This Row],[案件ID]]="","",IFERROR(MATCH(tblTasks[[#This Row],[案件ID]],tblCases[案件ID],0),""))</f>
        <v/>
      </c>
      <c r="Q64" s="61">
        <f>IF(tblTasks[[#This Row],[案件行]]="",0,INDEX(tblCases[連絡停止],tblTasks[[#This Row],[案件行]]))</f>
        <v>0</v>
      </c>
      <c r="R64" s="61" t="str">
        <f>IF(tblTasks[[#This Row],[案件行]]="","",INDEX(tblCases[状態区分],tblTasks[[#This Row],[案件行]])&amp;"")</f>
        <v/>
      </c>
      <c r="S64" s="61">
        <f>IF(AND(tblTasks[[#This Row],[タスクID]]&lt;&gt;"",OR(tblTasks[[#This Row],[状態]]="未着手",tblTasks[[#This Row],[状態]]="対応中")),1,0)</f>
        <v>0</v>
      </c>
      <c r="T6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4" s="61">
        <f>IF(OR(HomeStaff="",HomeStaff="全員",HomeStaff=tblTasks[[#This Row],[担当者]]),1,0)</f>
        <v>1</v>
      </c>
      <c r="W64" s="61">
        <f>IF(ISNUMBER(tblTasks[[#This Row],[期限日]]),INT(tblTasks[[#This Row],[期限日]]),99999)*100000+N(tblTasks[[#This Row],[ID番号]])</f>
        <v>9999900000</v>
      </c>
      <c r="X64" s="61">
        <f>IF(AND(OR(tblTasks[[#This Row],[表示区分]]="期限超過",tblTasks[[#This Row],[表示区分]]="本日"),tblTasks[[#This Row],[担当一致]]=1),1,0)</f>
        <v>0</v>
      </c>
      <c r="Y64" s="61" t="str">
        <f>IF(tblTasks[[#This Row],[一覧1対象]]=1,COUNTIFS(tblTasks[一覧1対象],1,tblTasks[並びキー],"&lt;"&amp;tblTasks[[#This Row],[並びキー]])+1,"")</f>
        <v/>
      </c>
      <c r="Z6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4" s="61" t="str">
        <f>IF(tblTasks[[#This Row],[一覧3対象]]=1,COUNTIFS(tblTasks[一覧3対象],1,tblTasks[並びキー],"&lt;"&amp;tblTasks[[#This Row],[並びキー]])+1,"")</f>
        <v/>
      </c>
      <c r="AB64" s="61">
        <f>IF(AND(tblTasks[[#This Row],[表示区分]]="今後",INT(N(tblTasks[[#This Row],[期限日]]))&lt;=RefDate+UpcomingDays,tblTasks[[#This Row],[担当一致]]=1),1,0)</f>
        <v>0</v>
      </c>
      <c r="AC64" s="61" t="str">
        <f>IF(tblTasks[[#This Row],[一覧4対象]]=1,COUNTIFS(tblTasks[一覧4対象],1,tblTasks[並びキー],"&lt;"&amp;tblTasks[[#This Row],[並びキー]])+1,"")</f>
        <v/>
      </c>
    </row>
    <row r="65">
      <c r="A65" s="49" t="n"/>
      <c r="B65" s="49" t="n"/>
      <c r="C65" s="50" t="str">
        <f>IF(tblTasks[[#This Row],[案件ID]]="","",IF(tblTasks[[#This Row],[案件行]]="","（未登録の案件ID）",INDEX(tblCases[顧客名],tblTasks[[#This Row],[案件行]])&amp;""))</f>
        <v/>
      </c>
      <c r="D65" s="50" t="str">
        <f>IF(tblTasks[[#This Row],[案件行]]="","",INDEX(tblCases[案件名],tblTasks[[#This Row],[案件行]])&amp;"")</f>
        <v/>
      </c>
      <c r="E65" s="52" t="n"/>
      <c r="F65" s="51" t="n"/>
      <c r="G65" s="65" t="n"/>
      <c r="H65" s="52" t="n"/>
      <c r="I65" s="52" t="n"/>
      <c r="J6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5" s="59" t="n"/>
      <c r="L65" s="51" t="n"/>
      <c r="M6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5" s="61" t="str">
        <f>IFERROR(VALUE(MID(tblTasks[[#This Row],[タスクID]],2,20)),"")</f>
        <v/>
      </c>
      <c r="O65" s="61" t="str">
        <f>tblTasks[[#This Row],[案件ID]]&amp;"|"&amp;tblTasks[[#This Row],[ID番号]]</f>
        <v>|</v>
      </c>
      <c r="P65" s="61" t="str">
        <f>IF(tblTasks[[#This Row],[案件ID]]="","",IFERROR(MATCH(tblTasks[[#This Row],[案件ID]],tblCases[案件ID],0),""))</f>
        <v/>
      </c>
      <c r="Q65" s="61">
        <f>IF(tblTasks[[#This Row],[案件行]]="",0,INDEX(tblCases[連絡停止],tblTasks[[#This Row],[案件行]]))</f>
        <v>0</v>
      </c>
      <c r="R65" s="61" t="str">
        <f>IF(tblTasks[[#This Row],[案件行]]="","",INDEX(tblCases[状態区分],tblTasks[[#This Row],[案件行]])&amp;"")</f>
        <v/>
      </c>
      <c r="S65" s="61">
        <f>IF(AND(tblTasks[[#This Row],[タスクID]]&lt;&gt;"",OR(tblTasks[[#This Row],[状態]]="未着手",tblTasks[[#This Row],[状態]]="対応中")),1,0)</f>
        <v>0</v>
      </c>
      <c r="T6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5" s="61">
        <f>IF(OR(HomeStaff="",HomeStaff="全員",HomeStaff=tblTasks[[#This Row],[担当者]]),1,0)</f>
        <v>1</v>
      </c>
      <c r="W65" s="61">
        <f>IF(ISNUMBER(tblTasks[[#This Row],[期限日]]),INT(tblTasks[[#This Row],[期限日]]),99999)*100000+N(tblTasks[[#This Row],[ID番号]])</f>
        <v>9999900000</v>
      </c>
      <c r="X65" s="61">
        <f>IF(AND(OR(tblTasks[[#This Row],[表示区分]]="期限超過",tblTasks[[#This Row],[表示区分]]="本日"),tblTasks[[#This Row],[担当一致]]=1),1,0)</f>
        <v>0</v>
      </c>
      <c r="Y65" s="61" t="str">
        <f>IF(tblTasks[[#This Row],[一覧1対象]]=1,COUNTIFS(tblTasks[一覧1対象],1,tblTasks[並びキー],"&lt;"&amp;tblTasks[[#This Row],[並びキー]])+1,"")</f>
        <v/>
      </c>
      <c r="Z6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5" s="61" t="str">
        <f>IF(tblTasks[[#This Row],[一覧3対象]]=1,COUNTIFS(tblTasks[一覧3対象],1,tblTasks[並びキー],"&lt;"&amp;tblTasks[[#This Row],[並びキー]])+1,"")</f>
        <v/>
      </c>
      <c r="AB65" s="61">
        <f>IF(AND(tblTasks[[#This Row],[表示区分]]="今後",INT(N(tblTasks[[#This Row],[期限日]]))&lt;=RefDate+UpcomingDays,tblTasks[[#This Row],[担当一致]]=1),1,0)</f>
        <v>0</v>
      </c>
      <c r="AC65" s="61" t="str">
        <f>IF(tblTasks[[#This Row],[一覧4対象]]=1,COUNTIFS(tblTasks[一覧4対象],1,tblTasks[並びキー],"&lt;"&amp;tblTasks[[#This Row],[並びキー]])+1,"")</f>
        <v/>
      </c>
    </row>
    <row r="66">
      <c r="A66" s="49" t="n"/>
      <c r="B66" s="49" t="n"/>
      <c r="C66" s="50" t="str">
        <f>IF(tblTasks[[#This Row],[案件ID]]="","",IF(tblTasks[[#This Row],[案件行]]="","（未登録の案件ID）",INDEX(tblCases[顧客名],tblTasks[[#This Row],[案件行]])&amp;""))</f>
        <v/>
      </c>
      <c r="D66" s="50" t="str">
        <f>IF(tblTasks[[#This Row],[案件行]]="","",INDEX(tblCases[案件名],tblTasks[[#This Row],[案件行]])&amp;"")</f>
        <v/>
      </c>
      <c r="E66" s="52" t="n"/>
      <c r="F66" s="51" t="n"/>
      <c r="G66" s="65" t="n"/>
      <c r="H66" s="52" t="n"/>
      <c r="I66" s="52" t="n"/>
      <c r="J6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6" s="59" t="n"/>
      <c r="L66" s="51" t="n"/>
      <c r="M6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6" s="61" t="str">
        <f>IFERROR(VALUE(MID(tblTasks[[#This Row],[タスクID]],2,20)),"")</f>
        <v/>
      </c>
      <c r="O66" s="61" t="str">
        <f>tblTasks[[#This Row],[案件ID]]&amp;"|"&amp;tblTasks[[#This Row],[ID番号]]</f>
        <v>|</v>
      </c>
      <c r="P66" s="61" t="str">
        <f>IF(tblTasks[[#This Row],[案件ID]]="","",IFERROR(MATCH(tblTasks[[#This Row],[案件ID]],tblCases[案件ID],0),""))</f>
        <v/>
      </c>
      <c r="Q66" s="61">
        <f>IF(tblTasks[[#This Row],[案件行]]="",0,INDEX(tblCases[連絡停止],tblTasks[[#This Row],[案件行]]))</f>
        <v>0</v>
      </c>
      <c r="R66" s="61" t="str">
        <f>IF(tblTasks[[#This Row],[案件行]]="","",INDEX(tblCases[状態区分],tblTasks[[#This Row],[案件行]])&amp;"")</f>
        <v/>
      </c>
      <c r="S66" s="61">
        <f>IF(AND(tblTasks[[#This Row],[タスクID]]&lt;&gt;"",OR(tblTasks[[#This Row],[状態]]="未着手",tblTasks[[#This Row],[状態]]="対応中")),1,0)</f>
        <v>0</v>
      </c>
      <c r="T6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6" s="61">
        <f>IF(OR(HomeStaff="",HomeStaff="全員",HomeStaff=tblTasks[[#This Row],[担当者]]),1,0)</f>
        <v>1</v>
      </c>
      <c r="W66" s="61">
        <f>IF(ISNUMBER(tblTasks[[#This Row],[期限日]]),INT(tblTasks[[#This Row],[期限日]]),99999)*100000+N(tblTasks[[#This Row],[ID番号]])</f>
        <v>9999900000</v>
      </c>
      <c r="X66" s="61">
        <f>IF(AND(OR(tblTasks[[#This Row],[表示区分]]="期限超過",tblTasks[[#This Row],[表示区分]]="本日"),tblTasks[[#This Row],[担当一致]]=1),1,0)</f>
        <v>0</v>
      </c>
      <c r="Y66" s="61" t="str">
        <f>IF(tblTasks[[#This Row],[一覧1対象]]=1,COUNTIFS(tblTasks[一覧1対象],1,tblTasks[並びキー],"&lt;"&amp;tblTasks[[#This Row],[並びキー]])+1,"")</f>
        <v/>
      </c>
      <c r="Z6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6" s="61" t="str">
        <f>IF(tblTasks[[#This Row],[一覧3対象]]=1,COUNTIFS(tblTasks[一覧3対象],1,tblTasks[並びキー],"&lt;"&amp;tblTasks[[#This Row],[並びキー]])+1,"")</f>
        <v/>
      </c>
      <c r="AB66" s="61">
        <f>IF(AND(tblTasks[[#This Row],[表示区分]]="今後",INT(N(tblTasks[[#This Row],[期限日]]))&lt;=RefDate+UpcomingDays,tblTasks[[#This Row],[担当一致]]=1),1,0)</f>
        <v>0</v>
      </c>
      <c r="AC66" s="61" t="str">
        <f>IF(tblTasks[[#This Row],[一覧4対象]]=1,COUNTIFS(tblTasks[一覧4対象],1,tblTasks[並びキー],"&lt;"&amp;tblTasks[[#This Row],[並びキー]])+1,"")</f>
        <v/>
      </c>
    </row>
    <row r="67">
      <c r="A67" s="49" t="n"/>
      <c r="B67" s="49" t="n"/>
      <c r="C67" s="50" t="str">
        <f>IF(tblTasks[[#This Row],[案件ID]]="","",IF(tblTasks[[#This Row],[案件行]]="","（未登録の案件ID）",INDEX(tblCases[顧客名],tblTasks[[#This Row],[案件行]])&amp;""))</f>
        <v/>
      </c>
      <c r="D67" s="50" t="str">
        <f>IF(tblTasks[[#This Row],[案件行]]="","",INDEX(tblCases[案件名],tblTasks[[#This Row],[案件行]])&amp;"")</f>
        <v/>
      </c>
      <c r="E67" s="52" t="n"/>
      <c r="F67" s="51" t="n"/>
      <c r="G67" s="65" t="n"/>
      <c r="H67" s="52" t="n"/>
      <c r="I67" s="52" t="n"/>
      <c r="J6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7" s="59" t="n"/>
      <c r="L67" s="51" t="n"/>
      <c r="M6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7" s="61" t="str">
        <f>IFERROR(VALUE(MID(tblTasks[[#This Row],[タスクID]],2,20)),"")</f>
        <v/>
      </c>
      <c r="O67" s="61" t="str">
        <f>tblTasks[[#This Row],[案件ID]]&amp;"|"&amp;tblTasks[[#This Row],[ID番号]]</f>
        <v>|</v>
      </c>
      <c r="P67" s="61" t="str">
        <f>IF(tblTasks[[#This Row],[案件ID]]="","",IFERROR(MATCH(tblTasks[[#This Row],[案件ID]],tblCases[案件ID],0),""))</f>
        <v/>
      </c>
      <c r="Q67" s="61">
        <f>IF(tblTasks[[#This Row],[案件行]]="",0,INDEX(tblCases[連絡停止],tblTasks[[#This Row],[案件行]]))</f>
        <v>0</v>
      </c>
      <c r="R67" s="61" t="str">
        <f>IF(tblTasks[[#This Row],[案件行]]="","",INDEX(tblCases[状態区分],tblTasks[[#This Row],[案件行]])&amp;"")</f>
        <v/>
      </c>
      <c r="S67" s="61">
        <f>IF(AND(tblTasks[[#This Row],[タスクID]]&lt;&gt;"",OR(tblTasks[[#This Row],[状態]]="未着手",tblTasks[[#This Row],[状態]]="対応中")),1,0)</f>
        <v>0</v>
      </c>
      <c r="T6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7" s="61">
        <f>IF(OR(HomeStaff="",HomeStaff="全員",HomeStaff=tblTasks[[#This Row],[担当者]]),1,0)</f>
        <v>1</v>
      </c>
      <c r="W67" s="61">
        <f>IF(ISNUMBER(tblTasks[[#This Row],[期限日]]),INT(tblTasks[[#This Row],[期限日]]),99999)*100000+N(tblTasks[[#This Row],[ID番号]])</f>
        <v>9999900000</v>
      </c>
      <c r="X67" s="61">
        <f>IF(AND(OR(tblTasks[[#This Row],[表示区分]]="期限超過",tblTasks[[#This Row],[表示区分]]="本日"),tblTasks[[#This Row],[担当一致]]=1),1,0)</f>
        <v>0</v>
      </c>
      <c r="Y67" s="61" t="str">
        <f>IF(tblTasks[[#This Row],[一覧1対象]]=1,COUNTIFS(tblTasks[一覧1対象],1,tblTasks[並びキー],"&lt;"&amp;tblTasks[[#This Row],[並びキー]])+1,"")</f>
        <v/>
      </c>
      <c r="Z6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7" s="61" t="str">
        <f>IF(tblTasks[[#This Row],[一覧3対象]]=1,COUNTIFS(tblTasks[一覧3対象],1,tblTasks[並びキー],"&lt;"&amp;tblTasks[[#This Row],[並びキー]])+1,"")</f>
        <v/>
      </c>
      <c r="AB67" s="61">
        <f>IF(AND(tblTasks[[#This Row],[表示区分]]="今後",INT(N(tblTasks[[#This Row],[期限日]]))&lt;=RefDate+UpcomingDays,tblTasks[[#This Row],[担当一致]]=1),1,0)</f>
        <v>0</v>
      </c>
      <c r="AC67" s="61" t="str">
        <f>IF(tblTasks[[#This Row],[一覧4対象]]=1,COUNTIFS(tblTasks[一覧4対象],1,tblTasks[並びキー],"&lt;"&amp;tblTasks[[#This Row],[並びキー]])+1,"")</f>
        <v/>
      </c>
    </row>
    <row r="68">
      <c r="A68" s="49" t="n"/>
      <c r="B68" s="49" t="n"/>
      <c r="C68" s="50" t="str">
        <f>IF(tblTasks[[#This Row],[案件ID]]="","",IF(tblTasks[[#This Row],[案件行]]="","（未登録の案件ID）",INDEX(tblCases[顧客名],tblTasks[[#This Row],[案件行]])&amp;""))</f>
        <v/>
      </c>
      <c r="D68" s="50" t="str">
        <f>IF(tblTasks[[#This Row],[案件行]]="","",INDEX(tblCases[案件名],tblTasks[[#This Row],[案件行]])&amp;"")</f>
        <v/>
      </c>
      <c r="E68" s="52" t="n"/>
      <c r="F68" s="51" t="n"/>
      <c r="G68" s="65" t="n"/>
      <c r="H68" s="52" t="n"/>
      <c r="I68" s="52" t="n"/>
      <c r="J6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8" s="59" t="n"/>
      <c r="L68" s="51" t="n"/>
      <c r="M6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8" s="61" t="str">
        <f>IFERROR(VALUE(MID(tblTasks[[#This Row],[タスクID]],2,20)),"")</f>
        <v/>
      </c>
      <c r="O68" s="61" t="str">
        <f>tblTasks[[#This Row],[案件ID]]&amp;"|"&amp;tblTasks[[#This Row],[ID番号]]</f>
        <v>|</v>
      </c>
      <c r="P68" s="61" t="str">
        <f>IF(tblTasks[[#This Row],[案件ID]]="","",IFERROR(MATCH(tblTasks[[#This Row],[案件ID]],tblCases[案件ID],0),""))</f>
        <v/>
      </c>
      <c r="Q68" s="61">
        <f>IF(tblTasks[[#This Row],[案件行]]="",0,INDEX(tblCases[連絡停止],tblTasks[[#This Row],[案件行]]))</f>
        <v>0</v>
      </c>
      <c r="R68" s="61" t="str">
        <f>IF(tblTasks[[#This Row],[案件行]]="","",INDEX(tblCases[状態区分],tblTasks[[#This Row],[案件行]])&amp;"")</f>
        <v/>
      </c>
      <c r="S68" s="61">
        <f>IF(AND(tblTasks[[#This Row],[タスクID]]&lt;&gt;"",OR(tblTasks[[#This Row],[状態]]="未着手",tblTasks[[#This Row],[状態]]="対応中")),1,0)</f>
        <v>0</v>
      </c>
      <c r="T6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8" s="61">
        <f>IF(OR(HomeStaff="",HomeStaff="全員",HomeStaff=tblTasks[[#This Row],[担当者]]),1,0)</f>
        <v>1</v>
      </c>
      <c r="W68" s="61">
        <f>IF(ISNUMBER(tblTasks[[#This Row],[期限日]]),INT(tblTasks[[#This Row],[期限日]]),99999)*100000+N(tblTasks[[#This Row],[ID番号]])</f>
        <v>9999900000</v>
      </c>
      <c r="X68" s="61">
        <f>IF(AND(OR(tblTasks[[#This Row],[表示区分]]="期限超過",tblTasks[[#This Row],[表示区分]]="本日"),tblTasks[[#This Row],[担当一致]]=1),1,0)</f>
        <v>0</v>
      </c>
      <c r="Y68" s="61" t="str">
        <f>IF(tblTasks[[#This Row],[一覧1対象]]=1,COUNTIFS(tblTasks[一覧1対象],1,tblTasks[並びキー],"&lt;"&amp;tblTasks[[#This Row],[並びキー]])+1,"")</f>
        <v/>
      </c>
      <c r="Z6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8" s="61" t="str">
        <f>IF(tblTasks[[#This Row],[一覧3対象]]=1,COUNTIFS(tblTasks[一覧3対象],1,tblTasks[並びキー],"&lt;"&amp;tblTasks[[#This Row],[並びキー]])+1,"")</f>
        <v/>
      </c>
      <c r="AB68" s="61">
        <f>IF(AND(tblTasks[[#This Row],[表示区分]]="今後",INT(N(tblTasks[[#This Row],[期限日]]))&lt;=RefDate+UpcomingDays,tblTasks[[#This Row],[担当一致]]=1),1,0)</f>
        <v>0</v>
      </c>
      <c r="AC68" s="61" t="str">
        <f>IF(tblTasks[[#This Row],[一覧4対象]]=1,COUNTIFS(tblTasks[一覧4対象],1,tblTasks[並びキー],"&lt;"&amp;tblTasks[[#This Row],[並びキー]])+1,"")</f>
        <v/>
      </c>
    </row>
    <row r="69">
      <c r="A69" s="49" t="n"/>
      <c r="B69" s="49" t="n"/>
      <c r="C69" s="50" t="str">
        <f>IF(tblTasks[[#This Row],[案件ID]]="","",IF(tblTasks[[#This Row],[案件行]]="","（未登録の案件ID）",INDEX(tblCases[顧客名],tblTasks[[#This Row],[案件行]])&amp;""))</f>
        <v/>
      </c>
      <c r="D69" s="50" t="str">
        <f>IF(tblTasks[[#This Row],[案件行]]="","",INDEX(tblCases[案件名],tblTasks[[#This Row],[案件行]])&amp;"")</f>
        <v/>
      </c>
      <c r="E69" s="52" t="n"/>
      <c r="F69" s="51" t="n"/>
      <c r="G69" s="65" t="n"/>
      <c r="H69" s="52" t="n"/>
      <c r="I69" s="52" t="n"/>
      <c r="J6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69" s="59" t="n"/>
      <c r="L69" s="51" t="n"/>
      <c r="M6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69" s="61" t="str">
        <f>IFERROR(VALUE(MID(tblTasks[[#This Row],[タスクID]],2,20)),"")</f>
        <v/>
      </c>
      <c r="O69" s="61" t="str">
        <f>tblTasks[[#This Row],[案件ID]]&amp;"|"&amp;tblTasks[[#This Row],[ID番号]]</f>
        <v>|</v>
      </c>
      <c r="P69" s="61" t="str">
        <f>IF(tblTasks[[#This Row],[案件ID]]="","",IFERROR(MATCH(tblTasks[[#This Row],[案件ID]],tblCases[案件ID],0),""))</f>
        <v/>
      </c>
      <c r="Q69" s="61">
        <f>IF(tblTasks[[#This Row],[案件行]]="",0,INDEX(tblCases[連絡停止],tblTasks[[#This Row],[案件行]]))</f>
        <v>0</v>
      </c>
      <c r="R69" s="61" t="str">
        <f>IF(tblTasks[[#This Row],[案件行]]="","",INDEX(tblCases[状態区分],tblTasks[[#This Row],[案件行]])&amp;"")</f>
        <v/>
      </c>
      <c r="S69" s="61">
        <f>IF(AND(tblTasks[[#This Row],[タスクID]]&lt;&gt;"",OR(tblTasks[[#This Row],[状態]]="未着手",tblTasks[[#This Row],[状態]]="対応中")),1,0)</f>
        <v>0</v>
      </c>
      <c r="T6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6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69" s="61">
        <f>IF(OR(HomeStaff="",HomeStaff="全員",HomeStaff=tblTasks[[#This Row],[担当者]]),1,0)</f>
        <v>1</v>
      </c>
      <c r="W69" s="61">
        <f>IF(ISNUMBER(tblTasks[[#This Row],[期限日]]),INT(tblTasks[[#This Row],[期限日]]),99999)*100000+N(tblTasks[[#This Row],[ID番号]])</f>
        <v>9999900000</v>
      </c>
      <c r="X69" s="61">
        <f>IF(AND(OR(tblTasks[[#This Row],[表示区分]]="期限超過",tblTasks[[#This Row],[表示区分]]="本日"),tblTasks[[#This Row],[担当一致]]=1),1,0)</f>
        <v>0</v>
      </c>
      <c r="Y69" s="61" t="str">
        <f>IF(tblTasks[[#This Row],[一覧1対象]]=1,COUNTIFS(tblTasks[一覧1対象],1,tblTasks[並びキー],"&lt;"&amp;tblTasks[[#This Row],[並びキー]])+1,"")</f>
        <v/>
      </c>
      <c r="Z6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69" s="61" t="str">
        <f>IF(tblTasks[[#This Row],[一覧3対象]]=1,COUNTIFS(tblTasks[一覧3対象],1,tblTasks[並びキー],"&lt;"&amp;tblTasks[[#This Row],[並びキー]])+1,"")</f>
        <v/>
      </c>
      <c r="AB69" s="61">
        <f>IF(AND(tblTasks[[#This Row],[表示区分]]="今後",INT(N(tblTasks[[#This Row],[期限日]]))&lt;=RefDate+UpcomingDays,tblTasks[[#This Row],[担当一致]]=1),1,0)</f>
        <v>0</v>
      </c>
      <c r="AC69" s="61" t="str">
        <f>IF(tblTasks[[#This Row],[一覧4対象]]=1,COUNTIFS(tblTasks[一覧4対象],1,tblTasks[並びキー],"&lt;"&amp;tblTasks[[#This Row],[並びキー]])+1,"")</f>
        <v/>
      </c>
    </row>
    <row r="70">
      <c r="A70" s="49" t="n"/>
      <c r="B70" s="49" t="n"/>
      <c r="C70" s="50" t="str">
        <f>IF(tblTasks[[#This Row],[案件ID]]="","",IF(tblTasks[[#This Row],[案件行]]="","（未登録の案件ID）",INDEX(tblCases[顧客名],tblTasks[[#This Row],[案件行]])&amp;""))</f>
        <v/>
      </c>
      <c r="D70" s="50" t="str">
        <f>IF(tblTasks[[#This Row],[案件行]]="","",INDEX(tblCases[案件名],tblTasks[[#This Row],[案件行]])&amp;"")</f>
        <v/>
      </c>
      <c r="E70" s="52" t="n"/>
      <c r="F70" s="51" t="n"/>
      <c r="G70" s="65" t="n"/>
      <c r="H70" s="52" t="n"/>
      <c r="I70" s="52" t="n"/>
      <c r="J7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0" s="59" t="n"/>
      <c r="L70" s="51" t="n"/>
      <c r="M7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0" s="61" t="str">
        <f>IFERROR(VALUE(MID(tblTasks[[#This Row],[タスクID]],2,20)),"")</f>
        <v/>
      </c>
      <c r="O70" s="61" t="str">
        <f>tblTasks[[#This Row],[案件ID]]&amp;"|"&amp;tblTasks[[#This Row],[ID番号]]</f>
        <v>|</v>
      </c>
      <c r="P70" s="61" t="str">
        <f>IF(tblTasks[[#This Row],[案件ID]]="","",IFERROR(MATCH(tblTasks[[#This Row],[案件ID]],tblCases[案件ID],0),""))</f>
        <v/>
      </c>
      <c r="Q70" s="61">
        <f>IF(tblTasks[[#This Row],[案件行]]="",0,INDEX(tblCases[連絡停止],tblTasks[[#This Row],[案件行]]))</f>
        <v>0</v>
      </c>
      <c r="R70" s="61" t="str">
        <f>IF(tblTasks[[#This Row],[案件行]]="","",INDEX(tblCases[状態区分],tblTasks[[#This Row],[案件行]])&amp;"")</f>
        <v/>
      </c>
      <c r="S70" s="61">
        <f>IF(AND(tblTasks[[#This Row],[タスクID]]&lt;&gt;"",OR(tblTasks[[#This Row],[状態]]="未着手",tblTasks[[#This Row],[状態]]="対応中")),1,0)</f>
        <v>0</v>
      </c>
      <c r="T7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0" s="61">
        <f>IF(OR(HomeStaff="",HomeStaff="全員",HomeStaff=tblTasks[[#This Row],[担当者]]),1,0)</f>
        <v>1</v>
      </c>
      <c r="W70" s="61">
        <f>IF(ISNUMBER(tblTasks[[#This Row],[期限日]]),INT(tblTasks[[#This Row],[期限日]]),99999)*100000+N(tblTasks[[#This Row],[ID番号]])</f>
        <v>9999900000</v>
      </c>
      <c r="X70" s="61">
        <f>IF(AND(OR(tblTasks[[#This Row],[表示区分]]="期限超過",tblTasks[[#This Row],[表示区分]]="本日"),tblTasks[[#This Row],[担当一致]]=1),1,0)</f>
        <v>0</v>
      </c>
      <c r="Y70" s="61" t="str">
        <f>IF(tblTasks[[#This Row],[一覧1対象]]=1,COUNTIFS(tblTasks[一覧1対象],1,tblTasks[並びキー],"&lt;"&amp;tblTasks[[#This Row],[並びキー]])+1,"")</f>
        <v/>
      </c>
      <c r="Z7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0" s="61" t="str">
        <f>IF(tblTasks[[#This Row],[一覧3対象]]=1,COUNTIFS(tblTasks[一覧3対象],1,tblTasks[並びキー],"&lt;"&amp;tblTasks[[#This Row],[並びキー]])+1,"")</f>
        <v/>
      </c>
      <c r="AB70" s="61">
        <f>IF(AND(tblTasks[[#This Row],[表示区分]]="今後",INT(N(tblTasks[[#This Row],[期限日]]))&lt;=RefDate+UpcomingDays,tblTasks[[#This Row],[担当一致]]=1),1,0)</f>
        <v>0</v>
      </c>
      <c r="AC70" s="61" t="str">
        <f>IF(tblTasks[[#This Row],[一覧4対象]]=1,COUNTIFS(tblTasks[一覧4対象],1,tblTasks[並びキー],"&lt;"&amp;tblTasks[[#This Row],[並びキー]])+1,"")</f>
        <v/>
      </c>
    </row>
    <row r="71">
      <c r="A71" s="49" t="n"/>
      <c r="B71" s="49" t="n"/>
      <c r="C71" s="50" t="str">
        <f>IF(tblTasks[[#This Row],[案件ID]]="","",IF(tblTasks[[#This Row],[案件行]]="","（未登録の案件ID）",INDEX(tblCases[顧客名],tblTasks[[#This Row],[案件行]])&amp;""))</f>
        <v/>
      </c>
      <c r="D71" s="50" t="str">
        <f>IF(tblTasks[[#This Row],[案件行]]="","",INDEX(tblCases[案件名],tblTasks[[#This Row],[案件行]])&amp;"")</f>
        <v/>
      </c>
      <c r="E71" s="52" t="n"/>
      <c r="F71" s="51" t="n"/>
      <c r="G71" s="65" t="n"/>
      <c r="H71" s="52" t="n"/>
      <c r="I71" s="52" t="n"/>
      <c r="J7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1" s="59" t="n"/>
      <c r="L71" s="51" t="n"/>
      <c r="M7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1" s="61" t="str">
        <f>IFERROR(VALUE(MID(tblTasks[[#This Row],[タスクID]],2,20)),"")</f>
        <v/>
      </c>
      <c r="O71" s="61" t="str">
        <f>tblTasks[[#This Row],[案件ID]]&amp;"|"&amp;tblTasks[[#This Row],[ID番号]]</f>
        <v>|</v>
      </c>
      <c r="P71" s="61" t="str">
        <f>IF(tblTasks[[#This Row],[案件ID]]="","",IFERROR(MATCH(tblTasks[[#This Row],[案件ID]],tblCases[案件ID],0),""))</f>
        <v/>
      </c>
      <c r="Q71" s="61">
        <f>IF(tblTasks[[#This Row],[案件行]]="",0,INDEX(tblCases[連絡停止],tblTasks[[#This Row],[案件行]]))</f>
        <v>0</v>
      </c>
      <c r="R71" s="61" t="str">
        <f>IF(tblTasks[[#This Row],[案件行]]="","",INDEX(tblCases[状態区分],tblTasks[[#This Row],[案件行]])&amp;"")</f>
        <v/>
      </c>
      <c r="S71" s="61">
        <f>IF(AND(tblTasks[[#This Row],[タスクID]]&lt;&gt;"",OR(tblTasks[[#This Row],[状態]]="未着手",tblTasks[[#This Row],[状態]]="対応中")),1,0)</f>
        <v>0</v>
      </c>
      <c r="T7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1" s="61">
        <f>IF(OR(HomeStaff="",HomeStaff="全員",HomeStaff=tblTasks[[#This Row],[担当者]]),1,0)</f>
        <v>1</v>
      </c>
      <c r="W71" s="61">
        <f>IF(ISNUMBER(tblTasks[[#This Row],[期限日]]),INT(tblTasks[[#This Row],[期限日]]),99999)*100000+N(tblTasks[[#This Row],[ID番号]])</f>
        <v>9999900000</v>
      </c>
      <c r="X71" s="61">
        <f>IF(AND(OR(tblTasks[[#This Row],[表示区分]]="期限超過",tblTasks[[#This Row],[表示区分]]="本日"),tblTasks[[#This Row],[担当一致]]=1),1,0)</f>
        <v>0</v>
      </c>
      <c r="Y71" s="61" t="str">
        <f>IF(tblTasks[[#This Row],[一覧1対象]]=1,COUNTIFS(tblTasks[一覧1対象],1,tblTasks[並びキー],"&lt;"&amp;tblTasks[[#This Row],[並びキー]])+1,"")</f>
        <v/>
      </c>
      <c r="Z7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1" s="61" t="str">
        <f>IF(tblTasks[[#This Row],[一覧3対象]]=1,COUNTIFS(tblTasks[一覧3対象],1,tblTasks[並びキー],"&lt;"&amp;tblTasks[[#This Row],[並びキー]])+1,"")</f>
        <v/>
      </c>
      <c r="AB71" s="61">
        <f>IF(AND(tblTasks[[#This Row],[表示区分]]="今後",INT(N(tblTasks[[#This Row],[期限日]]))&lt;=RefDate+UpcomingDays,tblTasks[[#This Row],[担当一致]]=1),1,0)</f>
        <v>0</v>
      </c>
      <c r="AC71" s="61" t="str">
        <f>IF(tblTasks[[#This Row],[一覧4対象]]=1,COUNTIFS(tblTasks[一覧4対象],1,tblTasks[並びキー],"&lt;"&amp;tblTasks[[#This Row],[並びキー]])+1,"")</f>
        <v/>
      </c>
    </row>
    <row r="72">
      <c r="A72" s="49" t="n"/>
      <c r="B72" s="49" t="n"/>
      <c r="C72" s="50" t="str">
        <f>IF(tblTasks[[#This Row],[案件ID]]="","",IF(tblTasks[[#This Row],[案件行]]="","（未登録の案件ID）",INDEX(tblCases[顧客名],tblTasks[[#This Row],[案件行]])&amp;""))</f>
        <v/>
      </c>
      <c r="D72" s="50" t="str">
        <f>IF(tblTasks[[#This Row],[案件行]]="","",INDEX(tblCases[案件名],tblTasks[[#This Row],[案件行]])&amp;"")</f>
        <v/>
      </c>
      <c r="E72" s="52" t="n"/>
      <c r="F72" s="51" t="n"/>
      <c r="G72" s="65" t="n"/>
      <c r="H72" s="52" t="n"/>
      <c r="I72" s="52" t="n"/>
      <c r="J7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2" s="59" t="n"/>
      <c r="L72" s="51" t="n"/>
      <c r="M7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2" s="61" t="str">
        <f>IFERROR(VALUE(MID(tblTasks[[#This Row],[タスクID]],2,20)),"")</f>
        <v/>
      </c>
      <c r="O72" s="61" t="str">
        <f>tblTasks[[#This Row],[案件ID]]&amp;"|"&amp;tblTasks[[#This Row],[ID番号]]</f>
        <v>|</v>
      </c>
      <c r="P72" s="61" t="str">
        <f>IF(tblTasks[[#This Row],[案件ID]]="","",IFERROR(MATCH(tblTasks[[#This Row],[案件ID]],tblCases[案件ID],0),""))</f>
        <v/>
      </c>
      <c r="Q72" s="61">
        <f>IF(tblTasks[[#This Row],[案件行]]="",0,INDEX(tblCases[連絡停止],tblTasks[[#This Row],[案件行]]))</f>
        <v>0</v>
      </c>
      <c r="R72" s="61" t="str">
        <f>IF(tblTasks[[#This Row],[案件行]]="","",INDEX(tblCases[状態区分],tblTasks[[#This Row],[案件行]])&amp;"")</f>
        <v/>
      </c>
      <c r="S72" s="61">
        <f>IF(AND(tblTasks[[#This Row],[タスクID]]&lt;&gt;"",OR(tblTasks[[#This Row],[状態]]="未着手",tblTasks[[#This Row],[状態]]="対応中")),1,0)</f>
        <v>0</v>
      </c>
      <c r="T7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2" s="61">
        <f>IF(OR(HomeStaff="",HomeStaff="全員",HomeStaff=tblTasks[[#This Row],[担当者]]),1,0)</f>
        <v>1</v>
      </c>
      <c r="W72" s="61">
        <f>IF(ISNUMBER(tblTasks[[#This Row],[期限日]]),INT(tblTasks[[#This Row],[期限日]]),99999)*100000+N(tblTasks[[#This Row],[ID番号]])</f>
        <v>9999900000</v>
      </c>
      <c r="X72" s="61">
        <f>IF(AND(OR(tblTasks[[#This Row],[表示区分]]="期限超過",tblTasks[[#This Row],[表示区分]]="本日"),tblTasks[[#This Row],[担当一致]]=1),1,0)</f>
        <v>0</v>
      </c>
      <c r="Y72" s="61" t="str">
        <f>IF(tblTasks[[#This Row],[一覧1対象]]=1,COUNTIFS(tblTasks[一覧1対象],1,tblTasks[並びキー],"&lt;"&amp;tblTasks[[#This Row],[並びキー]])+1,"")</f>
        <v/>
      </c>
      <c r="Z7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2" s="61" t="str">
        <f>IF(tblTasks[[#This Row],[一覧3対象]]=1,COUNTIFS(tblTasks[一覧3対象],1,tblTasks[並びキー],"&lt;"&amp;tblTasks[[#This Row],[並びキー]])+1,"")</f>
        <v/>
      </c>
      <c r="AB72" s="61">
        <f>IF(AND(tblTasks[[#This Row],[表示区分]]="今後",INT(N(tblTasks[[#This Row],[期限日]]))&lt;=RefDate+UpcomingDays,tblTasks[[#This Row],[担当一致]]=1),1,0)</f>
        <v>0</v>
      </c>
      <c r="AC72" s="61" t="str">
        <f>IF(tblTasks[[#This Row],[一覧4対象]]=1,COUNTIFS(tblTasks[一覧4対象],1,tblTasks[並びキー],"&lt;"&amp;tblTasks[[#This Row],[並びキー]])+1,"")</f>
        <v/>
      </c>
    </row>
    <row r="73">
      <c r="A73" s="49" t="n"/>
      <c r="B73" s="49" t="n"/>
      <c r="C73" s="50" t="str">
        <f>IF(tblTasks[[#This Row],[案件ID]]="","",IF(tblTasks[[#This Row],[案件行]]="","（未登録の案件ID）",INDEX(tblCases[顧客名],tblTasks[[#This Row],[案件行]])&amp;""))</f>
        <v/>
      </c>
      <c r="D73" s="50" t="str">
        <f>IF(tblTasks[[#This Row],[案件行]]="","",INDEX(tblCases[案件名],tblTasks[[#This Row],[案件行]])&amp;"")</f>
        <v/>
      </c>
      <c r="E73" s="52" t="n"/>
      <c r="F73" s="51" t="n"/>
      <c r="G73" s="65" t="n"/>
      <c r="H73" s="52" t="n"/>
      <c r="I73" s="52" t="n"/>
      <c r="J7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3" s="59" t="n"/>
      <c r="L73" s="51" t="n"/>
      <c r="M7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3" s="61" t="str">
        <f>IFERROR(VALUE(MID(tblTasks[[#This Row],[タスクID]],2,20)),"")</f>
        <v/>
      </c>
      <c r="O73" s="61" t="str">
        <f>tblTasks[[#This Row],[案件ID]]&amp;"|"&amp;tblTasks[[#This Row],[ID番号]]</f>
        <v>|</v>
      </c>
      <c r="P73" s="61" t="str">
        <f>IF(tblTasks[[#This Row],[案件ID]]="","",IFERROR(MATCH(tblTasks[[#This Row],[案件ID]],tblCases[案件ID],0),""))</f>
        <v/>
      </c>
      <c r="Q73" s="61">
        <f>IF(tblTasks[[#This Row],[案件行]]="",0,INDEX(tblCases[連絡停止],tblTasks[[#This Row],[案件行]]))</f>
        <v>0</v>
      </c>
      <c r="R73" s="61" t="str">
        <f>IF(tblTasks[[#This Row],[案件行]]="","",INDEX(tblCases[状態区分],tblTasks[[#This Row],[案件行]])&amp;"")</f>
        <v/>
      </c>
      <c r="S73" s="61">
        <f>IF(AND(tblTasks[[#This Row],[タスクID]]&lt;&gt;"",OR(tblTasks[[#This Row],[状態]]="未着手",tblTasks[[#This Row],[状態]]="対応中")),1,0)</f>
        <v>0</v>
      </c>
      <c r="T7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3" s="61">
        <f>IF(OR(HomeStaff="",HomeStaff="全員",HomeStaff=tblTasks[[#This Row],[担当者]]),1,0)</f>
        <v>1</v>
      </c>
      <c r="W73" s="61">
        <f>IF(ISNUMBER(tblTasks[[#This Row],[期限日]]),INT(tblTasks[[#This Row],[期限日]]),99999)*100000+N(tblTasks[[#This Row],[ID番号]])</f>
        <v>9999900000</v>
      </c>
      <c r="X73" s="61">
        <f>IF(AND(OR(tblTasks[[#This Row],[表示区分]]="期限超過",tblTasks[[#This Row],[表示区分]]="本日"),tblTasks[[#This Row],[担当一致]]=1),1,0)</f>
        <v>0</v>
      </c>
      <c r="Y73" s="61" t="str">
        <f>IF(tblTasks[[#This Row],[一覧1対象]]=1,COUNTIFS(tblTasks[一覧1対象],1,tblTasks[並びキー],"&lt;"&amp;tblTasks[[#This Row],[並びキー]])+1,"")</f>
        <v/>
      </c>
      <c r="Z7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3" s="61" t="str">
        <f>IF(tblTasks[[#This Row],[一覧3対象]]=1,COUNTIFS(tblTasks[一覧3対象],1,tblTasks[並びキー],"&lt;"&amp;tblTasks[[#This Row],[並びキー]])+1,"")</f>
        <v/>
      </c>
      <c r="AB73" s="61">
        <f>IF(AND(tblTasks[[#This Row],[表示区分]]="今後",INT(N(tblTasks[[#This Row],[期限日]]))&lt;=RefDate+UpcomingDays,tblTasks[[#This Row],[担当一致]]=1),1,0)</f>
        <v>0</v>
      </c>
      <c r="AC73" s="61" t="str">
        <f>IF(tblTasks[[#This Row],[一覧4対象]]=1,COUNTIFS(tblTasks[一覧4対象],1,tblTasks[並びキー],"&lt;"&amp;tblTasks[[#This Row],[並びキー]])+1,"")</f>
        <v/>
      </c>
    </row>
    <row r="74">
      <c r="A74" s="49" t="n"/>
      <c r="B74" s="49" t="n"/>
      <c r="C74" s="50" t="str">
        <f>IF(tblTasks[[#This Row],[案件ID]]="","",IF(tblTasks[[#This Row],[案件行]]="","（未登録の案件ID）",INDEX(tblCases[顧客名],tblTasks[[#This Row],[案件行]])&amp;""))</f>
        <v/>
      </c>
      <c r="D74" s="50" t="str">
        <f>IF(tblTasks[[#This Row],[案件行]]="","",INDEX(tblCases[案件名],tblTasks[[#This Row],[案件行]])&amp;"")</f>
        <v/>
      </c>
      <c r="E74" s="52" t="n"/>
      <c r="F74" s="51" t="n"/>
      <c r="G74" s="65" t="n"/>
      <c r="H74" s="52" t="n"/>
      <c r="I74" s="52" t="n"/>
      <c r="J7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4" s="59" t="n"/>
      <c r="L74" s="51" t="n"/>
      <c r="M7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4" s="61" t="str">
        <f>IFERROR(VALUE(MID(tblTasks[[#This Row],[タスクID]],2,20)),"")</f>
        <v/>
      </c>
      <c r="O74" s="61" t="str">
        <f>tblTasks[[#This Row],[案件ID]]&amp;"|"&amp;tblTasks[[#This Row],[ID番号]]</f>
        <v>|</v>
      </c>
      <c r="P74" s="61" t="str">
        <f>IF(tblTasks[[#This Row],[案件ID]]="","",IFERROR(MATCH(tblTasks[[#This Row],[案件ID]],tblCases[案件ID],0),""))</f>
        <v/>
      </c>
      <c r="Q74" s="61">
        <f>IF(tblTasks[[#This Row],[案件行]]="",0,INDEX(tblCases[連絡停止],tblTasks[[#This Row],[案件行]]))</f>
        <v>0</v>
      </c>
      <c r="R74" s="61" t="str">
        <f>IF(tblTasks[[#This Row],[案件行]]="","",INDEX(tblCases[状態区分],tblTasks[[#This Row],[案件行]])&amp;"")</f>
        <v/>
      </c>
      <c r="S74" s="61">
        <f>IF(AND(tblTasks[[#This Row],[タスクID]]&lt;&gt;"",OR(tblTasks[[#This Row],[状態]]="未着手",tblTasks[[#This Row],[状態]]="対応中")),1,0)</f>
        <v>0</v>
      </c>
      <c r="T7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4" s="61">
        <f>IF(OR(HomeStaff="",HomeStaff="全員",HomeStaff=tblTasks[[#This Row],[担当者]]),1,0)</f>
        <v>1</v>
      </c>
      <c r="W74" s="61">
        <f>IF(ISNUMBER(tblTasks[[#This Row],[期限日]]),INT(tblTasks[[#This Row],[期限日]]),99999)*100000+N(tblTasks[[#This Row],[ID番号]])</f>
        <v>9999900000</v>
      </c>
      <c r="X74" s="61">
        <f>IF(AND(OR(tblTasks[[#This Row],[表示区分]]="期限超過",tblTasks[[#This Row],[表示区分]]="本日"),tblTasks[[#This Row],[担当一致]]=1),1,0)</f>
        <v>0</v>
      </c>
      <c r="Y74" s="61" t="str">
        <f>IF(tblTasks[[#This Row],[一覧1対象]]=1,COUNTIFS(tblTasks[一覧1対象],1,tblTasks[並びキー],"&lt;"&amp;tblTasks[[#This Row],[並びキー]])+1,"")</f>
        <v/>
      </c>
      <c r="Z7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4" s="61" t="str">
        <f>IF(tblTasks[[#This Row],[一覧3対象]]=1,COUNTIFS(tblTasks[一覧3対象],1,tblTasks[並びキー],"&lt;"&amp;tblTasks[[#This Row],[並びキー]])+1,"")</f>
        <v/>
      </c>
      <c r="AB74" s="61">
        <f>IF(AND(tblTasks[[#This Row],[表示区分]]="今後",INT(N(tblTasks[[#This Row],[期限日]]))&lt;=RefDate+UpcomingDays,tblTasks[[#This Row],[担当一致]]=1),1,0)</f>
        <v>0</v>
      </c>
      <c r="AC74" s="61" t="str">
        <f>IF(tblTasks[[#This Row],[一覧4対象]]=1,COUNTIFS(tblTasks[一覧4対象],1,tblTasks[並びキー],"&lt;"&amp;tblTasks[[#This Row],[並びキー]])+1,"")</f>
        <v/>
      </c>
    </row>
    <row r="75">
      <c r="A75" s="49" t="n"/>
      <c r="B75" s="49" t="n"/>
      <c r="C75" s="50" t="str">
        <f>IF(tblTasks[[#This Row],[案件ID]]="","",IF(tblTasks[[#This Row],[案件行]]="","（未登録の案件ID）",INDEX(tblCases[顧客名],tblTasks[[#This Row],[案件行]])&amp;""))</f>
        <v/>
      </c>
      <c r="D75" s="50" t="str">
        <f>IF(tblTasks[[#This Row],[案件行]]="","",INDEX(tblCases[案件名],tblTasks[[#This Row],[案件行]])&amp;"")</f>
        <v/>
      </c>
      <c r="E75" s="52" t="n"/>
      <c r="F75" s="51" t="n"/>
      <c r="G75" s="65" t="n"/>
      <c r="H75" s="52" t="n"/>
      <c r="I75" s="52" t="n"/>
      <c r="J7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5" s="59" t="n"/>
      <c r="L75" s="51" t="n"/>
      <c r="M7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5" s="61" t="str">
        <f>IFERROR(VALUE(MID(tblTasks[[#This Row],[タスクID]],2,20)),"")</f>
        <v/>
      </c>
      <c r="O75" s="61" t="str">
        <f>tblTasks[[#This Row],[案件ID]]&amp;"|"&amp;tblTasks[[#This Row],[ID番号]]</f>
        <v>|</v>
      </c>
      <c r="P75" s="61" t="str">
        <f>IF(tblTasks[[#This Row],[案件ID]]="","",IFERROR(MATCH(tblTasks[[#This Row],[案件ID]],tblCases[案件ID],0),""))</f>
        <v/>
      </c>
      <c r="Q75" s="61">
        <f>IF(tblTasks[[#This Row],[案件行]]="",0,INDEX(tblCases[連絡停止],tblTasks[[#This Row],[案件行]]))</f>
        <v>0</v>
      </c>
      <c r="R75" s="61" t="str">
        <f>IF(tblTasks[[#This Row],[案件行]]="","",INDEX(tblCases[状態区分],tblTasks[[#This Row],[案件行]])&amp;"")</f>
        <v/>
      </c>
      <c r="S75" s="61">
        <f>IF(AND(tblTasks[[#This Row],[タスクID]]&lt;&gt;"",OR(tblTasks[[#This Row],[状態]]="未着手",tblTasks[[#This Row],[状態]]="対応中")),1,0)</f>
        <v>0</v>
      </c>
      <c r="T7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5" s="61">
        <f>IF(OR(HomeStaff="",HomeStaff="全員",HomeStaff=tblTasks[[#This Row],[担当者]]),1,0)</f>
        <v>1</v>
      </c>
      <c r="W75" s="61">
        <f>IF(ISNUMBER(tblTasks[[#This Row],[期限日]]),INT(tblTasks[[#This Row],[期限日]]),99999)*100000+N(tblTasks[[#This Row],[ID番号]])</f>
        <v>9999900000</v>
      </c>
      <c r="X75" s="61">
        <f>IF(AND(OR(tblTasks[[#This Row],[表示区分]]="期限超過",tblTasks[[#This Row],[表示区分]]="本日"),tblTasks[[#This Row],[担当一致]]=1),1,0)</f>
        <v>0</v>
      </c>
      <c r="Y75" s="61" t="str">
        <f>IF(tblTasks[[#This Row],[一覧1対象]]=1,COUNTIFS(tblTasks[一覧1対象],1,tblTasks[並びキー],"&lt;"&amp;tblTasks[[#This Row],[並びキー]])+1,"")</f>
        <v/>
      </c>
      <c r="Z7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5" s="61" t="str">
        <f>IF(tblTasks[[#This Row],[一覧3対象]]=1,COUNTIFS(tblTasks[一覧3対象],1,tblTasks[並びキー],"&lt;"&amp;tblTasks[[#This Row],[並びキー]])+1,"")</f>
        <v/>
      </c>
      <c r="AB75" s="61">
        <f>IF(AND(tblTasks[[#This Row],[表示区分]]="今後",INT(N(tblTasks[[#This Row],[期限日]]))&lt;=RefDate+UpcomingDays,tblTasks[[#This Row],[担当一致]]=1),1,0)</f>
        <v>0</v>
      </c>
      <c r="AC75" s="61" t="str">
        <f>IF(tblTasks[[#This Row],[一覧4対象]]=1,COUNTIFS(tblTasks[一覧4対象],1,tblTasks[並びキー],"&lt;"&amp;tblTasks[[#This Row],[並びキー]])+1,"")</f>
        <v/>
      </c>
    </row>
    <row r="76">
      <c r="A76" s="49" t="n"/>
      <c r="B76" s="49" t="n"/>
      <c r="C76" s="50" t="str">
        <f>IF(tblTasks[[#This Row],[案件ID]]="","",IF(tblTasks[[#This Row],[案件行]]="","（未登録の案件ID）",INDEX(tblCases[顧客名],tblTasks[[#This Row],[案件行]])&amp;""))</f>
        <v/>
      </c>
      <c r="D76" s="50" t="str">
        <f>IF(tblTasks[[#This Row],[案件行]]="","",INDEX(tblCases[案件名],tblTasks[[#This Row],[案件行]])&amp;"")</f>
        <v/>
      </c>
      <c r="E76" s="52" t="n"/>
      <c r="F76" s="51" t="n"/>
      <c r="G76" s="65" t="n"/>
      <c r="H76" s="52" t="n"/>
      <c r="I76" s="52" t="n"/>
      <c r="J7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6" s="59" t="n"/>
      <c r="L76" s="51" t="n"/>
      <c r="M7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6" s="61" t="str">
        <f>IFERROR(VALUE(MID(tblTasks[[#This Row],[タスクID]],2,20)),"")</f>
        <v/>
      </c>
      <c r="O76" s="61" t="str">
        <f>tblTasks[[#This Row],[案件ID]]&amp;"|"&amp;tblTasks[[#This Row],[ID番号]]</f>
        <v>|</v>
      </c>
      <c r="P76" s="61" t="str">
        <f>IF(tblTasks[[#This Row],[案件ID]]="","",IFERROR(MATCH(tblTasks[[#This Row],[案件ID]],tblCases[案件ID],0),""))</f>
        <v/>
      </c>
      <c r="Q76" s="61">
        <f>IF(tblTasks[[#This Row],[案件行]]="",0,INDEX(tblCases[連絡停止],tblTasks[[#This Row],[案件行]]))</f>
        <v>0</v>
      </c>
      <c r="R76" s="61" t="str">
        <f>IF(tblTasks[[#This Row],[案件行]]="","",INDEX(tblCases[状態区分],tblTasks[[#This Row],[案件行]])&amp;"")</f>
        <v/>
      </c>
      <c r="S76" s="61">
        <f>IF(AND(tblTasks[[#This Row],[タスクID]]&lt;&gt;"",OR(tblTasks[[#This Row],[状態]]="未着手",tblTasks[[#This Row],[状態]]="対応中")),1,0)</f>
        <v>0</v>
      </c>
      <c r="T7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6" s="61">
        <f>IF(OR(HomeStaff="",HomeStaff="全員",HomeStaff=tblTasks[[#This Row],[担当者]]),1,0)</f>
        <v>1</v>
      </c>
      <c r="W76" s="61">
        <f>IF(ISNUMBER(tblTasks[[#This Row],[期限日]]),INT(tblTasks[[#This Row],[期限日]]),99999)*100000+N(tblTasks[[#This Row],[ID番号]])</f>
        <v>9999900000</v>
      </c>
      <c r="X76" s="61">
        <f>IF(AND(OR(tblTasks[[#This Row],[表示区分]]="期限超過",tblTasks[[#This Row],[表示区分]]="本日"),tblTasks[[#This Row],[担当一致]]=1),1,0)</f>
        <v>0</v>
      </c>
      <c r="Y76" s="61" t="str">
        <f>IF(tblTasks[[#This Row],[一覧1対象]]=1,COUNTIFS(tblTasks[一覧1対象],1,tblTasks[並びキー],"&lt;"&amp;tblTasks[[#This Row],[並びキー]])+1,"")</f>
        <v/>
      </c>
      <c r="Z7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6" s="61" t="str">
        <f>IF(tblTasks[[#This Row],[一覧3対象]]=1,COUNTIFS(tblTasks[一覧3対象],1,tblTasks[並びキー],"&lt;"&amp;tblTasks[[#This Row],[並びキー]])+1,"")</f>
        <v/>
      </c>
      <c r="AB76" s="61">
        <f>IF(AND(tblTasks[[#This Row],[表示区分]]="今後",INT(N(tblTasks[[#This Row],[期限日]]))&lt;=RefDate+UpcomingDays,tblTasks[[#This Row],[担当一致]]=1),1,0)</f>
        <v>0</v>
      </c>
      <c r="AC76" s="61" t="str">
        <f>IF(tblTasks[[#This Row],[一覧4対象]]=1,COUNTIFS(tblTasks[一覧4対象],1,tblTasks[並びキー],"&lt;"&amp;tblTasks[[#This Row],[並びキー]])+1,"")</f>
        <v/>
      </c>
    </row>
    <row r="77">
      <c r="A77" s="49" t="n"/>
      <c r="B77" s="49" t="n"/>
      <c r="C77" s="50" t="str">
        <f>IF(tblTasks[[#This Row],[案件ID]]="","",IF(tblTasks[[#This Row],[案件行]]="","（未登録の案件ID）",INDEX(tblCases[顧客名],tblTasks[[#This Row],[案件行]])&amp;""))</f>
        <v/>
      </c>
      <c r="D77" s="50" t="str">
        <f>IF(tblTasks[[#This Row],[案件行]]="","",INDEX(tblCases[案件名],tblTasks[[#This Row],[案件行]])&amp;"")</f>
        <v/>
      </c>
      <c r="E77" s="52" t="n"/>
      <c r="F77" s="51" t="n"/>
      <c r="G77" s="65" t="n"/>
      <c r="H77" s="52" t="n"/>
      <c r="I77" s="52" t="n"/>
      <c r="J7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7" s="59" t="n"/>
      <c r="L77" s="51" t="n"/>
      <c r="M7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7" s="61" t="str">
        <f>IFERROR(VALUE(MID(tblTasks[[#This Row],[タスクID]],2,20)),"")</f>
        <v/>
      </c>
      <c r="O77" s="61" t="str">
        <f>tblTasks[[#This Row],[案件ID]]&amp;"|"&amp;tblTasks[[#This Row],[ID番号]]</f>
        <v>|</v>
      </c>
      <c r="P77" s="61" t="str">
        <f>IF(tblTasks[[#This Row],[案件ID]]="","",IFERROR(MATCH(tblTasks[[#This Row],[案件ID]],tblCases[案件ID],0),""))</f>
        <v/>
      </c>
      <c r="Q77" s="61">
        <f>IF(tblTasks[[#This Row],[案件行]]="",0,INDEX(tblCases[連絡停止],tblTasks[[#This Row],[案件行]]))</f>
        <v>0</v>
      </c>
      <c r="R77" s="61" t="str">
        <f>IF(tblTasks[[#This Row],[案件行]]="","",INDEX(tblCases[状態区分],tblTasks[[#This Row],[案件行]])&amp;"")</f>
        <v/>
      </c>
      <c r="S77" s="61">
        <f>IF(AND(tblTasks[[#This Row],[タスクID]]&lt;&gt;"",OR(tblTasks[[#This Row],[状態]]="未着手",tblTasks[[#This Row],[状態]]="対応中")),1,0)</f>
        <v>0</v>
      </c>
      <c r="T7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7" s="61">
        <f>IF(OR(HomeStaff="",HomeStaff="全員",HomeStaff=tblTasks[[#This Row],[担当者]]),1,0)</f>
        <v>1</v>
      </c>
      <c r="W77" s="61">
        <f>IF(ISNUMBER(tblTasks[[#This Row],[期限日]]),INT(tblTasks[[#This Row],[期限日]]),99999)*100000+N(tblTasks[[#This Row],[ID番号]])</f>
        <v>9999900000</v>
      </c>
      <c r="X77" s="61">
        <f>IF(AND(OR(tblTasks[[#This Row],[表示区分]]="期限超過",tblTasks[[#This Row],[表示区分]]="本日"),tblTasks[[#This Row],[担当一致]]=1),1,0)</f>
        <v>0</v>
      </c>
      <c r="Y77" s="61" t="str">
        <f>IF(tblTasks[[#This Row],[一覧1対象]]=1,COUNTIFS(tblTasks[一覧1対象],1,tblTasks[並びキー],"&lt;"&amp;tblTasks[[#This Row],[並びキー]])+1,"")</f>
        <v/>
      </c>
      <c r="Z7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7" s="61" t="str">
        <f>IF(tblTasks[[#This Row],[一覧3対象]]=1,COUNTIFS(tblTasks[一覧3対象],1,tblTasks[並びキー],"&lt;"&amp;tblTasks[[#This Row],[並びキー]])+1,"")</f>
        <v/>
      </c>
      <c r="AB77" s="61">
        <f>IF(AND(tblTasks[[#This Row],[表示区分]]="今後",INT(N(tblTasks[[#This Row],[期限日]]))&lt;=RefDate+UpcomingDays,tblTasks[[#This Row],[担当一致]]=1),1,0)</f>
        <v>0</v>
      </c>
      <c r="AC77" s="61" t="str">
        <f>IF(tblTasks[[#This Row],[一覧4対象]]=1,COUNTIFS(tblTasks[一覧4対象],1,tblTasks[並びキー],"&lt;"&amp;tblTasks[[#This Row],[並びキー]])+1,"")</f>
        <v/>
      </c>
    </row>
    <row r="78">
      <c r="A78" s="49" t="n"/>
      <c r="B78" s="49" t="n"/>
      <c r="C78" s="50" t="str">
        <f>IF(tblTasks[[#This Row],[案件ID]]="","",IF(tblTasks[[#This Row],[案件行]]="","（未登録の案件ID）",INDEX(tblCases[顧客名],tblTasks[[#This Row],[案件行]])&amp;""))</f>
        <v/>
      </c>
      <c r="D78" s="50" t="str">
        <f>IF(tblTasks[[#This Row],[案件行]]="","",INDEX(tblCases[案件名],tblTasks[[#This Row],[案件行]])&amp;"")</f>
        <v/>
      </c>
      <c r="E78" s="52" t="n"/>
      <c r="F78" s="51" t="n"/>
      <c r="G78" s="65" t="n"/>
      <c r="H78" s="52" t="n"/>
      <c r="I78" s="52" t="n"/>
      <c r="J7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8" s="59" t="n"/>
      <c r="L78" s="51" t="n"/>
      <c r="M7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8" s="61" t="str">
        <f>IFERROR(VALUE(MID(tblTasks[[#This Row],[タスクID]],2,20)),"")</f>
        <v/>
      </c>
      <c r="O78" s="61" t="str">
        <f>tblTasks[[#This Row],[案件ID]]&amp;"|"&amp;tblTasks[[#This Row],[ID番号]]</f>
        <v>|</v>
      </c>
      <c r="P78" s="61" t="str">
        <f>IF(tblTasks[[#This Row],[案件ID]]="","",IFERROR(MATCH(tblTasks[[#This Row],[案件ID]],tblCases[案件ID],0),""))</f>
        <v/>
      </c>
      <c r="Q78" s="61">
        <f>IF(tblTasks[[#This Row],[案件行]]="",0,INDEX(tblCases[連絡停止],tblTasks[[#This Row],[案件行]]))</f>
        <v>0</v>
      </c>
      <c r="R78" s="61" t="str">
        <f>IF(tblTasks[[#This Row],[案件行]]="","",INDEX(tblCases[状態区分],tblTasks[[#This Row],[案件行]])&amp;"")</f>
        <v/>
      </c>
      <c r="S78" s="61">
        <f>IF(AND(tblTasks[[#This Row],[タスクID]]&lt;&gt;"",OR(tblTasks[[#This Row],[状態]]="未着手",tblTasks[[#This Row],[状態]]="対応中")),1,0)</f>
        <v>0</v>
      </c>
      <c r="T7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8" s="61">
        <f>IF(OR(HomeStaff="",HomeStaff="全員",HomeStaff=tblTasks[[#This Row],[担当者]]),1,0)</f>
        <v>1</v>
      </c>
      <c r="W78" s="61">
        <f>IF(ISNUMBER(tblTasks[[#This Row],[期限日]]),INT(tblTasks[[#This Row],[期限日]]),99999)*100000+N(tblTasks[[#This Row],[ID番号]])</f>
        <v>9999900000</v>
      </c>
      <c r="X78" s="61">
        <f>IF(AND(OR(tblTasks[[#This Row],[表示区分]]="期限超過",tblTasks[[#This Row],[表示区分]]="本日"),tblTasks[[#This Row],[担当一致]]=1),1,0)</f>
        <v>0</v>
      </c>
      <c r="Y78" s="61" t="str">
        <f>IF(tblTasks[[#This Row],[一覧1対象]]=1,COUNTIFS(tblTasks[一覧1対象],1,tblTasks[並びキー],"&lt;"&amp;tblTasks[[#This Row],[並びキー]])+1,"")</f>
        <v/>
      </c>
      <c r="Z7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8" s="61" t="str">
        <f>IF(tblTasks[[#This Row],[一覧3対象]]=1,COUNTIFS(tblTasks[一覧3対象],1,tblTasks[並びキー],"&lt;"&amp;tblTasks[[#This Row],[並びキー]])+1,"")</f>
        <v/>
      </c>
      <c r="AB78" s="61">
        <f>IF(AND(tblTasks[[#This Row],[表示区分]]="今後",INT(N(tblTasks[[#This Row],[期限日]]))&lt;=RefDate+UpcomingDays,tblTasks[[#This Row],[担当一致]]=1),1,0)</f>
        <v>0</v>
      </c>
      <c r="AC78" s="61" t="str">
        <f>IF(tblTasks[[#This Row],[一覧4対象]]=1,COUNTIFS(tblTasks[一覧4対象],1,tblTasks[並びキー],"&lt;"&amp;tblTasks[[#This Row],[並びキー]])+1,"")</f>
        <v/>
      </c>
    </row>
    <row r="79">
      <c r="A79" s="49" t="n"/>
      <c r="B79" s="49" t="n"/>
      <c r="C79" s="50" t="str">
        <f>IF(tblTasks[[#This Row],[案件ID]]="","",IF(tblTasks[[#This Row],[案件行]]="","（未登録の案件ID）",INDEX(tblCases[顧客名],tblTasks[[#This Row],[案件行]])&amp;""))</f>
        <v/>
      </c>
      <c r="D79" s="50" t="str">
        <f>IF(tblTasks[[#This Row],[案件行]]="","",INDEX(tblCases[案件名],tblTasks[[#This Row],[案件行]])&amp;"")</f>
        <v/>
      </c>
      <c r="E79" s="52" t="n"/>
      <c r="F79" s="51" t="n"/>
      <c r="G79" s="65" t="n"/>
      <c r="H79" s="52" t="n"/>
      <c r="I79" s="52" t="n"/>
      <c r="J7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79" s="59" t="n"/>
      <c r="L79" s="51" t="n"/>
      <c r="M7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79" s="61" t="str">
        <f>IFERROR(VALUE(MID(tblTasks[[#This Row],[タスクID]],2,20)),"")</f>
        <v/>
      </c>
      <c r="O79" s="61" t="str">
        <f>tblTasks[[#This Row],[案件ID]]&amp;"|"&amp;tblTasks[[#This Row],[ID番号]]</f>
        <v>|</v>
      </c>
      <c r="P79" s="61" t="str">
        <f>IF(tblTasks[[#This Row],[案件ID]]="","",IFERROR(MATCH(tblTasks[[#This Row],[案件ID]],tblCases[案件ID],0),""))</f>
        <v/>
      </c>
      <c r="Q79" s="61">
        <f>IF(tblTasks[[#This Row],[案件行]]="",0,INDEX(tblCases[連絡停止],tblTasks[[#This Row],[案件行]]))</f>
        <v>0</v>
      </c>
      <c r="R79" s="61" t="str">
        <f>IF(tblTasks[[#This Row],[案件行]]="","",INDEX(tblCases[状態区分],tblTasks[[#This Row],[案件行]])&amp;"")</f>
        <v/>
      </c>
      <c r="S79" s="61">
        <f>IF(AND(tblTasks[[#This Row],[タスクID]]&lt;&gt;"",OR(tblTasks[[#This Row],[状態]]="未着手",tblTasks[[#This Row],[状態]]="対応中")),1,0)</f>
        <v>0</v>
      </c>
      <c r="T7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7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79" s="61">
        <f>IF(OR(HomeStaff="",HomeStaff="全員",HomeStaff=tblTasks[[#This Row],[担当者]]),1,0)</f>
        <v>1</v>
      </c>
      <c r="W79" s="61">
        <f>IF(ISNUMBER(tblTasks[[#This Row],[期限日]]),INT(tblTasks[[#This Row],[期限日]]),99999)*100000+N(tblTasks[[#This Row],[ID番号]])</f>
        <v>9999900000</v>
      </c>
      <c r="X79" s="61">
        <f>IF(AND(OR(tblTasks[[#This Row],[表示区分]]="期限超過",tblTasks[[#This Row],[表示区分]]="本日"),tblTasks[[#This Row],[担当一致]]=1),1,0)</f>
        <v>0</v>
      </c>
      <c r="Y79" s="61" t="str">
        <f>IF(tblTasks[[#This Row],[一覧1対象]]=1,COUNTIFS(tblTasks[一覧1対象],1,tblTasks[並びキー],"&lt;"&amp;tblTasks[[#This Row],[並びキー]])+1,"")</f>
        <v/>
      </c>
      <c r="Z7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79" s="61" t="str">
        <f>IF(tblTasks[[#This Row],[一覧3対象]]=1,COUNTIFS(tblTasks[一覧3対象],1,tblTasks[並びキー],"&lt;"&amp;tblTasks[[#This Row],[並びキー]])+1,"")</f>
        <v/>
      </c>
      <c r="AB79" s="61">
        <f>IF(AND(tblTasks[[#This Row],[表示区分]]="今後",INT(N(tblTasks[[#This Row],[期限日]]))&lt;=RefDate+UpcomingDays,tblTasks[[#This Row],[担当一致]]=1),1,0)</f>
        <v>0</v>
      </c>
      <c r="AC79" s="61" t="str">
        <f>IF(tblTasks[[#This Row],[一覧4対象]]=1,COUNTIFS(tblTasks[一覧4対象],1,tblTasks[並びキー],"&lt;"&amp;tblTasks[[#This Row],[並びキー]])+1,"")</f>
        <v/>
      </c>
    </row>
    <row r="80">
      <c r="A80" s="49" t="n"/>
      <c r="B80" s="49" t="n"/>
      <c r="C80" s="50" t="str">
        <f>IF(tblTasks[[#This Row],[案件ID]]="","",IF(tblTasks[[#This Row],[案件行]]="","（未登録の案件ID）",INDEX(tblCases[顧客名],tblTasks[[#This Row],[案件行]])&amp;""))</f>
        <v/>
      </c>
      <c r="D80" s="50" t="str">
        <f>IF(tblTasks[[#This Row],[案件行]]="","",INDEX(tblCases[案件名],tblTasks[[#This Row],[案件行]])&amp;"")</f>
        <v/>
      </c>
      <c r="E80" s="52" t="n"/>
      <c r="F80" s="51" t="n"/>
      <c r="G80" s="65" t="n"/>
      <c r="H80" s="52" t="n"/>
      <c r="I80" s="52" t="n"/>
      <c r="J8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0" s="59" t="n"/>
      <c r="L80" s="51" t="n"/>
      <c r="M8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0" s="61" t="str">
        <f>IFERROR(VALUE(MID(tblTasks[[#This Row],[タスクID]],2,20)),"")</f>
        <v/>
      </c>
      <c r="O80" s="61" t="str">
        <f>tblTasks[[#This Row],[案件ID]]&amp;"|"&amp;tblTasks[[#This Row],[ID番号]]</f>
        <v>|</v>
      </c>
      <c r="P80" s="61" t="str">
        <f>IF(tblTasks[[#This Row],[案件ID]]="","",IFERROR(MATCH(tblTasks[[#This Row],[案件ID]],tblCases[案件ID],0),""))</f>
        <v/>
      </c>
      <c r="Q80" s="61">
        <f>IF(tblTasks[[#This Row],[案件行]]="",0,INDEX(tblCases[連絡停止],tblTasks[[#This Row],[案件行]]))</f>
        <v>0</v>
      </c>
      <c r="R80" s="61" t="str">
        <f>IF(tblTasks[[#This Row],[案件行]]="","",INDEX(tblCases[状態区分],tblTasks[[#This Row],[案件行]])&amp;"")</f>
        <v/>
      </c>
      <c r="S80" s="61">
        <f>IF(AND(tblTasks[[#This Row],[タスクID]]&lt;&gt;"",OR(tblTasks[[#This Row],[状態]]="未着手",tblTasks[[#This Row],[状態]]="対応中")),1,0)</f>
        <v>0</v>
      </c>
      <c r="T8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0" s="61">
        <f>IF(OR(HomeStaff="",HomeStaff="全員",HomeStaff=tblTasks[[#This Row],[担当者]]),1,0)</f>
        <v>1</v>
      </c>
      <c r="W80" s="61">
        <f>IF(ISNUMBER(tblTasks[[#This Row],[期限日]]),INT(tblTasks[[#This Row],[期限日]]),99999)*100000+N(tblTasks[[#This Row],[ID番号]])</f>
        <v>9999900000</v>
      </c>
      <c r="X80" s="61">
        <f>IF(AND(OR(tblTasks[[#This Row],[表示区分]]="期限超過",tblTasks[[#This Row],[表示区分]]="本日"),tblTasks[[#This Row],[担当一致]]=1),1,0)</f>
        <v>0</v>
      </c>
      <c r="Y80" s="61" t="str">
        <f>IF(tblTasks[[#This Row],[一覧1対象]]=1,COUNTIFS(tblTasks[一覧1対象],1,tblTasks[並びキー],"&lt;"&amp;tblTasks[[#This Row],[並びキー]])+1,"")</f>
        <v/>
      </c>
      <c r="Z8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0" s="61" t="str">
        <f>IF(tblTasks[[#This Row],[一覧3対象]]=1,COUNTIFS(tblTasks[一覧3対象],1,tblTasks[並びキー],"&lt;"&amp;tblTasks[[#This Row],[並びキー]])+1,"")</f>
        <v/>
      </c>
      <c r="AB80" s="61">
        <f>IF(AND(tblTasks[[#This Row],[表示区分]]="今後",INT(N(tblTasks[[#This Row],[期限日]]))&lt;=RefDate+UpcomingDays,tblTasks[[#This Row],[担当一致]]=1),1,0)</f>
        <v>0</v>
      </c>
      <c r="AC80" s="61" t="str">
        <f>IF(tblTasks[[#This Row],[一覧4対象]]=1,COUNTIFS(tblTasks[一覧4対象],1,tblTasks[並びキー],"&lt;"&amp;tblTasks[[#This Row],[並びキー]])+1,"")</f>
        <v/>
      </c>
    </row>
    <row r="81">
      <c r="A81" s="49" t="n"/>
      <c r="B81" s="49" t="n"/>
      <c r="C81" s="50" t="str">
        <f>IF(tblTasks[[#This Row],[案件ID]]="","",IF(tblTasks[[#This Row],[案件行]]="","（未登録の案件ID）",INDEX(tblCases[顧客名],tblTasks[[#This Row],[案件行]])&amp;""))</f>
        <v/>
      </c>
      <c r="D81" s="50" t="str">
        <f>IF(tblTasks[[#This Row],[案件行]]="","",INDEX(tblCases[案件名],tblTasks[[#This Row],[案件行]])&amp;"")</f>
        <v/>
      </c>
      <c r="E81" s="52" t="n"/>
      <c r="F81" s="51" t="n"/>
      <c r="G81" s="65" t="n"/>
      <c r="H81" s="52" t="n"/>
      <c r="I81" s="52" t="n"/>
      <c r="J8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1" s="59" t="n"/>
      <c r="L81" s="51" t="n"/>
      <c r="M8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1" s="61" t="str">
        <f>IFERROR(VALUE(MID(tblTasks[[#This Row],[タスクID]],2,20)),"")</f>
        <v/>
      </c>
      <c r="O81" s="61" t="str">
        <f>tblTasks[[#This Row],[案件ID]]&amp;"|"&amp;tblTasks[[#This Row],[ID番号]]</f>
        <v>|</v>
      </c>
      <c r="P81" s="61" t="str">
        <f>IF(tblTasks[[#This Row],[案件ID]]="","",IFERROR(MATCH(tblTasks[[#This Row],[案件ID]],tblCases[案件ID],0),""))</f>
        <v/>
      </c>
      <c r="Q81" s="61">
        <f>IF(tblTasks[[#This Row],[案件行]]="",0,INDEX(tblCases[連絡停止],tblTasks[[#This Row],[案件行]]))</f>
        <v>0</v>
      </c>
      <c r="R81" s="61" t="str">
        <f>IF(tblTasks[[#This Row],[案件行]]="","",INDEX(tblCases[状態区分],tblTasks[[#This Row],[案件行]])&amp;"")</f>
        <v/>
      </c>
      <c r="S81" s="61">
        <f>IF(AND(tblTasks[[#This Row],[タスクID]]&lt;&gt;"",OR(tblTasks[[#This Row],[状態]]="未着手",tblTasks[[#This Row],[状態]]="対応中")),1,0)</f>
        <v>0</v>
      </c>
      <c r="T8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1" s="61">
        <f>IF(OR(HomeStaff="",HomeStaff="全員",HomeStaff=tblTasks[[#This Row],[担当者]]),1,0)</f>
        <v>1</v>
      </c>
      <c r="W81" s="61">
        <f>IF(ISNUMBER(tblTasks[[#This Row],[期限日]]),INT(tblTasks[[#This Row],[期限日]]),99999)*100000+N(tblTasks[[#This Row],[ID番号]])</f>
        <v>9999900000</v>
      </c>
      <c r="X81" s="61">
        <f>IF(AND(OR(tblTasks[[#This Row],[表示区分]]="期限超過",tblTasks[[#This Row],[表示区分]]="本日"),tblTasks[[#This Row],[担当一致]]=1),1,0)</f>
        <v>0</v>
      </c>
      <c r="Y81" s="61" t="str">
        <f>IF(tblTasks[[#This Row],[一覧1対象]]=1,COUNTIFS(tblTasks[一覧1対象],1,tblTasks[並びキー],"&lt;"&amp;tblTasks[[#This Row],[並びキー]])+1,"")</f>
        <v/>
      </c>
      <c r="Z8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1" s="61" t="str">
        <f>IF(tblTasks[[#This Row],[一覧3対象]]=1,COUNTIFS(tblTasks[一覧3対象],1,tblTasks[並びキー],"&lt;"&amp;tblTasks[[#This Row],[並びキー]])+1,"")</f>
        <v/>
      </c>
      <c r="AB81" s="61">
        <f>IF(AND(tblTasks[[#This Row],[表示区分]]="今後",INT(N(tblTasks[[#This Row],[期限日]]))&lt;=RefDate+UpcomingDays,tblTasks[[#This Row],[担当一致]]=1),1,0)</f>
        <v>0</v>
      </c>
      <c r="AC81" s="61" t="str">
        <f>IF(tblTasks[[#This Row],[一覧4対象]]=1,COUNTIFS(tblTasks[一覧4対象],1,tblTasks[並びキー],"&lt;"&amp;tblTasks[[#This Row],[並びキー]])+1,"")</f>
        <v/>
      </c>
    </row>
    <row r="82">
      <c r="A82" s="49" t="n"/>
      <c r="B82" s="49" t="n"/>
      <c r="C82" s="50" t="str">
        <f>IF(tblTasks[[#This Row],[案件ID]]="","",IF(tblTasks[[#This Row],[案件行]]="","（未登録の案件ID）",INDEX(tblCases[顧客名],tblTasks[[#This Row],[案件行]])&amp;""))</f>
        <v/>
      </c>
      <c r="D82" s="50" t="str">
        <f>IF(tblTasks[[#This Row],[案件行]]="","",INDEX(tblCases[案件名],tblTasks[[#This Row],[案件行]])&amp;"")</f>
        <v/>
      </c>
      <c r="E82" s="52" t="n"/>
      <c r="F82" s="51" t="n"/>
      <c r="G82" s="65" t="n"/>
      <c r="H82" s="52" t="n"/>
      <c r="I82" s="52" t="n"/>
      <c r="J8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2" s="59" t="n"/>
      <c r="L82" s="51" t="n"/>
      <c r="M8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2" s="61" t="str">
        <f>IFERROR(VALUE(MID(tblTasks[[#This Row],[タスクID]],2,20)),"")</f>
        <v/>
      </c>
      <c r="O82" s="61" t="str">
        <f>tblTasks[[#This Row],[案件ID]]&amp;"|"&amp;tblTasks[[#This Row],[ID番号]]</f>
        <v>|</v>
      </c>
      <c r="P82" s="61" t="str">
        <f>IF(tblTasks[[#This Row],[案件ID]]="","",IFERROR(MATCH(tblTasks[[#This Row],[案件ID]],tblCases[案件ID],0),""))</f>
        <v/>
      </c>
      <c r="Q82" s="61">
        <f>IF(tblTasks[[#This Row],[案件行]]="",0,INDEX(tblCases[連絡停止],tblTasks[[#This Row],[案件行]]))</f>
        <v>0</v>
      </c>
      <c r="R82" s="61" t="str">
        <f>IF(tblTasks[[#This Row],[案件行]]="","",INDEX(tblCases[状態区分],tblTasks[[#This Row],[案件行]])&amp;"")</f>
        <v/>
      </c>
      <c r="S82" s="61">
        <f>IF(AND(tblTasks[[#This Row],[タスクID]]&lt;&gt;"",OR(tblTasks[[#This Row],[状態]]="未着手",tblTasks[[#This Row],[状態]]="対応中")),1,0)</f>
        <v>0</v>
      </c>
      <c r="T8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2" s="61">
        <f>IF(OR(HomeStaff="",HomeStaff="全員",HomeStaff=tblTasks[[#This Row],[担当者]]),1,0)</f>
        <v>1</v>
      </c>
      <c r="W82" s="61">
        <f>IF(ISNUMBER(tblTasks[[#This Row],[期限日]]),INT(tblTasks[[#This Row],[期限日]]),99999)*100000+N(tblTasks[[#This Row],[ID番号]])</f>
        <v>9999900000</v>
      </c>
      <c r="X82" s="61">
        <f>IF(AND(OR(tblTasks[[#This Row],[表示区分]]="期限超過",tblTasks[[#This Row],[表示区分]]="本日"),tblTasks[[#This Row],[担当一致]]=1),1,0)</f>
        <v>0</v>
      </c>
      <c r="Y82" s="61" t="str">
        <f>IF(tblTasks[[#This Row],[一覧1対象]]=1,COUNTIFS(tblTasks[一覧1対象],1,tblTasks[並びキー],"&lt;"&amp;tblTasks[[#This Row],[並びキー]])+1,"")</f>
        <v/>
      </c>
      <c r="Z8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2" s="61" t="str">
        <f>IF(tblTasks[[#This Row],[一覧3対象]]=1,COUNTIFS(tblTasks[一覧3対象],1,tblTasks[並びキー],"&lt;"&amp;tblTasks[[#This Row],[並びキー]])+1,"")</f>
        <v/>
      </c>
      <c r="AB82" s="61">
        <f>IF(AND(tblTasks[[#This Row],[表示区分]]="今後",INT(N(tblTasks[[#This Row],[期限日]]))&lt;=RefDate+UpcomingDays,tblTasks[[#This Row],[担当一致]]=1),1,0)</f>
        <v>0</v>
      </c>
      <c r="AC82" s="61" t="str">
        <f>IF(tblTasks[[#This Row],[一覧4対象]]=1,COUNTIFS(tblTasks[一覧4対象],1,tblTasks[並びキー],"&lt;"&amp;tblTasks[[#This Row],[並びキー]])+1,"")</f>
        <v/>
      </c>
    </row>
    <row r="83">
      <c r="A83" s="49" t="n"/>
      <c r="B83" s="49" t="n"/>
      <c r="C83" s="50" t="str">
        <f>IF(tblTasks[[#This Row],[案件ID]]="","",IF(tblTasks[[#This Row],[案件行]]="","（未登録の案件ID）",INDEX(tblCases[顧客名],tblTasks[[#This Row],[案件行]])&amp;""))</f>
        <v/>
      </c>
      <c r="D83" s="50" t="str">
        <f>IF(tblTasks[[#This Row],[案件行]]="","",INDEX(tblCases[案件名],tblTasks[[#This Row],[案件行]])&amp;"")</f>
        <v/>
      </c>
      <c r="E83" s="52" t="n"/>
      <c r="F83" s="51" t="n"/>
      <c r="G83" s="65" t="n"/>
      <c r="H83" s="52" t="n"/>
      <c r="I83" s="52" t="n"/>
      <c r="J8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3" s="59" t="n"/>
      <c r="L83" s="51" t="n"/>
      <c r="M8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3" s="61" t="str">
        <f>IFERROR(VALUE(MID(tblTasks[[#This Row],[タスクID]],2,20)),"")</f>
        <v/>
      </c>
      <c r="O83" s="61" t="str">
        <f>tblTasks[[#This Row],[案件ID]]&amp;"|"&amp;tblTasks[[#This Row],[ID番号]]</f>
        <v>|</v>
      </c>
      <c r="P83" s="61" t="str">
        <f>IF(tblTasks[[#This Row],[案件ID]]="","",IFERROR(MATCH(tblTasks[[#This Row],[案件ID]],tblCases[案件ID],0),""))</f>
        <v/>
      </c>
      <c r="Q83" s="61">
        <f>IF(tblTasks[[#This Row],[案件行]]="",0,INDEX(tblCases[連絡停止],tblTasks[[#This Row],[案件行]]))</f>
        <v>0</v>
      </c>
      <c r="R83" s="61" t="str">
        <f>IF(tblTasks[[#This Row],[案件行]]="","",INDEX(tblCases[状態区分],tblTasks[[#This Row],[案件行]])&amp;"")</f>
        <v/>
      </c>
      <c r="S83" s="61">
        <f>IF(AND(tblTasks[[#This Row],[タスクID]]&lt;&gt;"",OR(tblTasks[[#This Row],[状態]]="未着手",tblTasks[[#This Row],[状態]]="対応中")),1,0)</f>
        <v>0</v>
      </c>
      <c r="T8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3" s="61">
        <f>IF(OR(HomeStaff="",HomeStaff="全員",HomeStaff=tblTasks[[#This Row],[担当者]]),1,0)</f>
        <v>1</v>
      </c>
      <c r="W83" s="61">
        <f>IF(ISNUMBER(tblTasks[[#This Row],[期限日]]),INT(tblTasks[[#This Row],[期限日]]),99999)*100000+N(tblTasks[[#This Row],[ID番号]])</f>
        <v>9999900000</v>
      </c>
      <c r="X83" s="61">
        <f>IF(AND(OR(tblTasks[[#This Row],[表示区分]]="期限超過",tblTasks[[#This Row],[表示区分]]="本日"),tblTasks[[#This Row],[担当一致]]=1),1,0)</f>
        <v>0</v>
      </c>
      <c r="Y83" s="61" t="str">
        <f>IF(tblTasks[[#This Row],[一覧1対象]]=1,COUNTIFS(tblTasks[一覧1対象],1,tblTasks[並びキー],"&lt;"&amp;tblTasks[[#This Row],[並びキー]])+1,"")</f>
        <v/>
      </c>
      <c r="Z8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3" s="61" t="str">
        <f>IF(tblTasks[[#This Row],[一覧3対象]]=1,COUNTIFS(tblTasks[一覧3対象],1,tblTasks[並びキー],"&lt;"&amp;tblTasks[[#This Row],[並びキー]])+1,"")</f>
        <v/>
      </c>
      <c r="AB83" s="61">
        <f>IF(AND(tblTasks[[#This Row],[表示区分]]="今後",INT(N(tblTasks[[#This Row],[期限日]]))&lt;=RefDate+UpcomingDays,tblTasks[[#This Row],[担当一致]]=1),1,0)</f>
        <v>0</v>
      </c>
      <c r="AC83" s="61" t="str">
        <f>IF(tblTasks[[#This Row],[一覧4対象]]=1,COUNTIFS(tblTasks[一覧4対象],1,tblTasks[並びキー],"&lt;"&amp;tblTasks[[#This Row],[並びキー]])+1,"")</f>
        <v/>
      </c>
    </row>
    <row r="84">
      <c r="A84" s="49" t="n"/>
      <c r="B84" s="49" t="n"/>
      <c r="C84" s="50" t="str">
        <f>IF(tblTasks[[#This Row],[案件ID]]="","",IF(tblTasks[[#This Row],[案件行]]="","（未登録の案件ID）",INDEX(tblCases[顧客名],tblTasks[[#This Row],[案件行]])&amp;""))</f>
        <v/>
      </c>
      <c r="D84" s="50" t="str">
        <f>IF(tblTasks[[#This Row],[案件行]]="","",INDEX(tblCases[案件名],tblTasks[[#This Row],[案件行]])&amp;"")</f>
        <v/>
      </c>
      <c r="E84" s="52" t="n"/>
      <c r="F84" s="51" t="n"/>
      <c r="G84" s="65" t="n"/>
      <c r="H84" s="52" t="n"/>
      <c r="I84" s="52" t="n"/>
      <c r="J8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4" s="59" t="n"/>
      <c r="L84" s="51" t="n"/>
      <c r="M8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4" s="61" t="str">
        <f>IFERROR(VALUE(MID(tblTasks[[#This Row],[タスクID]],2,20)),"")</f>
        <v/>
      </c>
      <c r="O84" s="61" t="str">
        <f>tblTasks[[#This Row],[案件ID]]&amp;"|"&amp;tblTasks[[#This Row],[ID番号]]</f>
        <v>|</v>
      </c>
      <c r="P84" s="61" t="str">
        <f>IF(tblTasks[[#This Row],[案件ID]]="","",IFERROR(MATCH(tblTasks[[#This Row],[案件ID]],tblCases[案件ID],0),""))</f>
        <v/>
      </c>
      <c r="Q84" s="61">
        <f>IF(tblTasks[[#This Row],[案件行]]="",0,INDEX(tblCases[連絡停止],tblTasks[[#This Row],[案件行]]))</f>
        <v>0</v>
      </c>
      <c r="R84" s="61" t="str">
        <f>IF(tblTasks[[#This Row],[案件行]]="","",INDEX(tblCases[状態区分],tblTasks[[#This Row],[案件行]])&amp;"")</f>
        <v/>
      </c>
      <c r="S84" s="61">
        <f>IF(AND(tblTasks[[#This Row],[タスクID]]&lt;&gt;"",OR(tblTasks[[#This Row],[状態]]="未着手",tblTasks[[#This Row],[状態]]="対応中")),1,0)</f>
        <v>0</v>
      </c>
      <c r="T8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4" s="61">
        <f>IF(OR(HomeStaff="",HomeStaff="全員",HomeStaff=tblTasks[[#This Row],[担当者]]),1,0)</f>
        <v>1</v>
      </c>
      <c r="W84" s="61">
        <f>IF(ISNUMBER(tblTasks[[#This Row],[期限日]]),INT(tblTasks[[#This Row],[期限日]]),99999)*100000+N(tblTasks[[#This Row],[ID番号]])</f>
        <v>9999900000</v>
      </c>
      <c r="X84" s="61">
        <f>IF(AND(OR(tblTasks[[#This Row],[表示区分]]="期限超過",tblTasks[[#This Row],[表示区分]]="本日"),tblTasks[[#This Row],[担当一致]]=1),1,0)</f>
        <v>0</v>
      </c>
      <c r="Y84" s="61" t="str">
        <f>IF(tblTasks[[#This Row],[一覧1対象]]=1,COUNTIFS(tblTasks[一覧1対象],1,tblTasks[並びキー],"&lt;"&amp;tblTasks[[#This Row],[並びキー]])+1,"")</f>
        <v/>
      </c>
      <c r="Z8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4" s="61" t="str">
        <f>IF(tblTasks[[#This Row],[一覧3対象]]=1,COUNTIFS(tblTasks[一覧3対象],1,tblTasks[並びキー],"&lt;"&amp;tblTasks[[#This Row],[並びキー]])+1,"")</f>
        <v/>
      </c>
      <c r="AB84" s="61">
        <f>IF(AND(tblTasks[[#This Row],[表示区分]]="今後",INT(N(tblTasks[[#This Row],[期限日]]))&lt;=RefDate+UpcomingDays,tblTasks[[#This Row],[担当一致]]=1),1,0)</f>
        <v>0</v>
      </c>
      <c r="AC84" s="61" t="str">
        <f>IF(tblTasks[[#This Row],[一覧4対象]]=1,COUNTIFS(tblTasks[一覧4対象],1,tblTasks[並びキー],"&lt;"&amp;tblTasks[[#This Row],[並びキー]])+1,"")</f>
        <v/>
      </c>
    </row>
    <row r="85">
      <c r="A85" s="49" t="n"/>
      <c r="B85" s="49" t="n"/>
      <c r="C85" s="50" t="str">
        <f>IF(tblTasks[[#This Row],[案件ID]]="","",IF(tblTasks[[#This Row],[案件行]]="","（未登録の案件ID）",INDEX(tblCases[顧客名],tblTasks[[#This Row],[案件行]])&amp;""))</f>
        <v/>
      </c>
      <c r="D85" s="50" t="str">
        <f>IF(tblTasks[[#This Row],[案件行]]="","",INDEX(tblCases[案件名],tblTasks[[#This Row],[案件行]])&amp;"")</f>
        <v/>
      </c>
      <c r="E85" s="52" t="n"/>
      <c r="F85" s="51" t="n"/>
      <c r="G85" s="65" t="n"/>
      <c r="H85" s="52" t="n"/>
      <c r="I85" s="52" t="n"/>
      <c r="J8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5" s="59" t="n"/>
      <c r="L85" s="51" t="n"/>
      <c r="M8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5" s="61" t="str">
        <f>IFERROR(VALUE(MID(tblTasks[[#This Row],[タスクID]],2,20)),"")</f>
        <v/>
      </c>
      <c r="O85" s="61" t="str">
        <f>tblTasks[[#This Row],[案件ID]]&amp;"|"&amp;tblTasks[[#This Row],[ID番号]]</f>
        <v>|</v>
      </c>
      <c r="P85" s="61" t="str">
        <f>IF(tblTasks[[#This Row],[案件ID]]="","",IFERROR(MATCH(tblTasks[[#This Row],[案件ID]],tblCases[案件ID],0),""))</f>
        <v/>
      </c>
      <c r="Q85" s="61">
        <f>IF(tblTasks[[#This Row],[案件行]]="",0,INDEX(tblCases[連絡停止],tblTasks[[#This Row],[案件行]]))</f>
        <v>0</v>
      </c>
      <c r="R85" s="61" t="str">
        <f>IF(tblTasks[[#This Row],[案件行]]="","",INDEX(tblCases[状態区分],tblTasks[[#This Row],[案件行]])&amp;"")</f>
        <v/>
      </c>
      <c r="S85" s="61">
        <f>IF(AND(tblTasks[[#This Row],[タスクID]]&lt;&gt;"",OR(tblTasks[[#This Row],[状態]]="未着手",tblTasks[[#This Row],[状態]]="対応中")),1,0)</f>
        <v>0</v>
      </c>
      <c r="T8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5" s="61">
        <f>IF(OR(HomeStaff="",HomeStaff="全員",HomeStaff=tblTasks[[#This Row],[担当者]]),1,0)</f>
        <v>1</v>
      </c>
      <c r="W85" s="61">
        <f>IF(ISNUMBER(tblTasks[[#This Row],[期限日]]),INT(tblTasks[[#This Row],[期限日]]),99999)*100000+N(tblTasks[[#This Row],[ID番号]])</f>
        <v>9999900000</v>
      </c>
      <c r="X85" s="61">
        <f>IF(AND(OR(tblTasks[[#This Row],[表示区分]]="期限超過",tblTasks[[#This Row],[表示区分]]="本日"),tblTasks[[#This Row],[担当一致]]=1),1,0)</f>
        <v>0</v>
      </c>
      <c r="Y85" s="61" t="str">
        <f>IF(tblTasks[[#This Row],[一覧1対象]]=1,COUNTIFS(tblTasks[一覧1対象],1,tblTasks[並びキー],"&lt;"&amp;tblTasks[[#This Row],[並びキー]])+1,"")</f>
        <v/>
      </c>
      <c r="Z8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5" s="61" t="str">
        <f>IF(tblTasks[[#This Row],[一覧3対象]]=1,COUNTIFS(tblTasks[一覧3対象],1,tblTasks[並びキー],"&lt;"&amp;tblTasks[[#This Row],[並びキー]])+1,"")</f>
        <v/>
      </c>
      <c r="AB85" s="61">
        <f>IF(AND(tblTasks[[#This Row],[表示区分]]="今後",INT(N(tblTasks[[#This Row],[期限日]]))&lt;=RefDate+UpcomingDays,tblTasks[[#This Row],[担当一致]]=1),1,0)</f>
        <v>0</v>
      </c>
      <c r="AC85" s="61" t="str">
        <f>IF(tblTasks[[#This Row],[一覧4対象]]=1,COUNTIFS(tblTasks[一覧4対象],1,tblTasks[並びキー],"&lt;"&amp;tblTasks[[#This Row],[並びキー]])+1,"")</f>
        <v/>
      </c>
    </row>
    <row r="86">
      <c r="A86" s="49" t="n"/>
      <c r="B86" s="49" t="n"/>
      <c r="C86" s="50" t="str">
        <f>IF(tblTasks[[#This Row],[案件ID]]="","",IF(tblTasks[[#This Row],[案件行]]="","（未登録の案件ID）",INDEX(tblCases[顧客名],tblTasks[[#This Row],[案件行]])&amp;""))</f>
        <v/>
      </c>
      <c r="D86" s="50" t="str">
        <f>IF(tblTasks[[#This Row],[案件行]]="","",INDEX(tblCases[案件名],tblTasks[[#This Row],[案件行]])&amp;"")</f>
        <v/>
      </c>
      <c r="E86" s="52" t="n"/>
      <c r="F86" s="51" t="n"/>
      <c r="G86" s="65" t="n"/>
      <c r="H86" s="52" t="n"/>
      <c r="I86" s="52" t="n"/>
      <c r="J8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6" s="59" t="n"/>
      <c r="L86" s="51" t="n"/>
      <c r="M8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6" s="61" t="str">
        <f>IFERROR(VALUE(MID(tblTasks[[#This Row],[タスクID]],2,20)),"")</f>
        <v/>
      </c>
      <c r="O86" s="61" t="str">
        <f>tblTasks[[#This Row],[案件ID]]&amp;"|"&amp;tblTasks[[#This Row],[ID番号]]</f>
        <v>|</v>
      </c>
      <c r="P86" s="61" t="str">
        <f>IF(tblTasks[[#This Row],[案件ID]]="","",IFERROR(MATCH(tblTasks[[#This Row],[案件ID]],tblCases[案件ID],0),""))</f>
        <v/>
      </c>
      <c r="Q86" s="61">
        <f>IF(tblTasks[[#This Row],[案件行]]="",0,INDEX(tblCases[連絡停止],tblTasks[[#This Row],[案件行]]))</f>
        <v>0</v>
      </c>
      <c r="R86" s="61" t="str">
        <f>IF(tblTasks[[#This Row],[案件行]]="","",INDEX(tblCases[状態区分],tblTasks[[#This Row],[案件行]])&amp;"")</f>
        <v/>
      </c>
      <c r="S86" s="61">
        <f>IF(AND(tblTasks[[#This Row],[タスクID]]&lt;&gt;"",OR(tblTasks[[#This Row],[状態]]="未着手",tblTasks[[#This Row],[状態]]="対応中")),1,0)</f>
        <v>0</v>
      </c>
      <c r="T8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6" s="61">
        <f>IF(OR(HomeStaff="",HomeStaff="全員",HomeStaff=tblTasks[[#This Row],[担当者]]),1,0)</f>
        <v>1</v>
      </c>
      <c r="W86" s="61">
        <f>IF(ISNUMBER(tblTasks[[#This Row],[期限日]]),INT(tblTasks[[#This Row],[期限日]]),99999)*100000+N(tblTasks[[#This Row],[ID番号]])</f>
        <v>9999900000</v>
      </c>
      <c r="X86" s="61">
        <f>IF(AND(OR(tblTasks[[#This Row],[表示区分]]="期限超過",tblTasks[[#This Row],[表示区分]]="本日"),tblTasks[[#This Row],[担当一致]]=1),1,0)</f>
        <v>0</v>
      </c>
      <c r="Y86" s="61" t="str">
        <f>IF(tblTasks[[#This Row],[一覧1対象]]=1,COUNTIFS(tblTasks[一覧1対象],1,tblTasks[並びキー],"&lt;"&amp;tblTasks[[#This Row],[並びキー]])+1,"")</f>
        <v/>
      </c>
      <c r="Z8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6" s="61" t="str">
        <f>IF(tblTasks[[#This Row],[一覧3対象]]=1,COUNTIFS(tblTasks[一覧3対象],1,tblTasks[並びキー],"&lt;"&amp;tblTasks[[#This Row],[並びキー]])+1,"")</f>
        <v/>
      </c>
      <c r="AB86" s="61">
        <f>IF(AND(tblTasks[[#This Row],[表示区分]]="今後",INT(N(tblTasks[[#This Row],[期限日]]))&lt;=RefDate+UpcomingDays,tblTasks[[#This Row],[担当一致]]=1),1,0)</f>
        <v>0</v>
      </c>
      <c r="AC86" s="61" t="str">
        <f>IF(tblTasks[[#This Row],[一覧4対象]]=1,COUNTIFS(tblTasks[一覧4対象],1,tblTasks[並びキー],"&lt;"&amp;tblTasks[[#This Row],[並びキー]])+1,"")</f>
        <v/>
      </c>
    </row>
    <row r="87">
      <c r="A87" s="49" t="n"/>
      <c r="B87" s="49" t="n"/>
      <c r="C87" s="50" t="str">
        <f>IF(tblTasks[[#This Row],[案件ID]]="","",IF(tblTasks[[#This Row],[案件行]]="","（未登録の案件ID）",INDEX(tblCases[顧客名],tblTasks[[#This Row],[案件行]])&amp;""))</f>
        <v/>
      </c>
      <c r="D87" s="50" t="str">
        <f>IF(tblTasks[[#This Row],[案件行]]="","",INDEX(tblCases[案件名],tblTasks[[#This Row],[案件行]])&amp;"")</f>
        <v/>
      </c>
      <c r="E87" s="52" t="n"/>
      <c r="F87" s="51" t="n"/>
      <c r="G87" s="65" t="n"/>
      <c r="H87" s="52" t="n"/>
      <c r="I87" s="52" t="n"/>
      <c r="J8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7" s="59" t="n"/>
      <c r="L87" s="51" t="n"/>
      <c r="M8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7" s="61" t="str">
        <f>IFERROR(VALUE(MID(tblTasks[[#This Row],[タスクID]],2,20)),"")</f>
        <v/>
      </c>
      <c r="O87" s="61" t="str">
        <f>tblTasks[[#This Row],[案件ID]]&amp;"|"&amp;tblTasks[[#This Row],[ID番号]]</f>
        <v>|</v>
      </c>
      <c r="P87" s="61" t="str">
        <f>IF(tblTasks[[#This Row],[案件ID]]="","",IFERROR(MATCH(tblTasks[[#This Row],[案件ID]],tblCases[案件ID],0),""))</f>
        <v/>
      </c>
      <c r="Q87" s="61">
        <f>IF(tblTasks[[#This Row],[案件行]]="",0,INDEX(tblCases[連絡停止],tblTasks[[#This Row],[案件行]]))</f>
        <v>0</v>
      </c>
      <c r="R87" s="61" t="str">
        <f>IF(tblTasks[[#This Row],[案件行]]="","",INDEX(tblCases[状態区分],tblTasks[[#This Row],[案件行]])&amp;"")</f>
        <v/>
      </c>
      <c r="S87" s="61">
        <f>IF(AND(tblTasks[[#This Row],[タスクID]]&lt;&gt;"",OR(tblTasks[[#This Row],[状態]]="未着手",tblTasks[[#This Row],[状態]]="対応中")),1,0)</f>
        <v>0</v>
      </c>
      <c r="T8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7" s="61">
        <f>IF(OR(HomeStaff="",HomeStaff="全員",HomeStaff=tblTasks[[#This Row],[担当者]]),1,0)</f>
        <v>1</v>
      </c>
      <c r="W87" s="61">
        <f>IF(ISNUMBER(tblTasks[[#This Row],[期限日]]),INT(tblTasks[[#This Row],[期限日]]),99999)*100000+N(tblTasks[[#This Row],[ID番号]])</f>
        <v>9999900000</v>
      </c>
      <c r="X87" s="61">
        <f>IF(AND(OR(tblTasks[[#This Row],[表示区分]]="期限超過",tblTasks[[#This Row],[表示区分]]="本日"),tblTasks[[#This Row],[担当一致]]=1),1,0)</f>
        <v>0</v>
      </c>
      <c r="Y87" s="61" t="str">
        <f>IF(tblTasks[[#This Row],[一覧1対象]]=1,COUNTIFS(tblTasks[一覧1対象],1,tblTasks[並びキー],"&lt;"&amp;tblTasks[[#This Row],[並びキー]])+1,"")</f>
        <v/>
      </c>
      <c r="Z8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7" s="61" t="str">
        <f>IF(tblTasks[[#This Row],[一覧3対象]]=1,COUNTIFS(tblTasks[一覧3対象],1,tblTasks[並びキー],"&lt;"&amp;tblTasks[[#This Row],[並びキー]])+1,"")</f>
        <v/>
      </c>
      <c r="AB87" s="61">
        <f>IF(AND(tblTasks[[#This Row],[表示区分]]="今後",INT(N(tblTasks[[#This Row],[期限日]]))&lt;=RefDate+UpcomingDays,tblTasks[[#This Row],[担当一致]]=1),1,0)</f>
        <v>0</v>
      </c>
      <c r="AC87" s="61" t="str">
        <f>IF(tblTasks[[#This Row],[一覧4対象]]=1,COUNTIFS(tblTasks[一覧4対象],1,tblTasks[並びキー],"&lt;"&amp;tblTasks[[#This Row],[並びキー]])+1,"")</f>
        <v/>
      </c>
    </row>
    <row r="88">
      <c r="A88" s="49" t="n"/>
      <c r="B88" s="49" t="n"/>
      <c r="C88" s="50" t="str">
        <f>IF(tblTasks[[#This Row],[案件ID]]="","",IF(tblTasks[[#This Row],[案件行]]="","（未登録の案件ID）",INDEX(tblCases[顧客名],tblTasks[[#This Row],[案件行]])&amp;""))</f>
        <v/>
      </c>
      <c r="D88" s="50" t="str">
        <f>IF(tblTasks[[#This Row],[案件行]]="","",INDEX(tblCases[案件名],tblTasks[[#This Row],[案件行]])&amp;"")</f>
        <v/>
      </c>
      <c r="E88" s="52" t="n"/>
      <c r="F88" s="51" t="n"/>
      <c r="G88" s="65" t="n"/>
      <c r="H88" s="52" t="n"/>
      <c r="I88" s="52" t="n"/>
      <c r="J8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8" s="59" t="n"/>
      <c r="L88" s="51" t="n"/>
      <c r="M8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8" s="61" t="str">
        <f>IFERROR(VALUE(MID(tblTasks[[#This Row],[タスクID]],2,20)),"")</f>
        <v/>
      </c>
      <c r="O88" s="61" t="str">
        <f>tblTasks[[#This Row],[案件ID]]&amp;"|"&amp;tblTasks[[#This Row],[ID番号]]</f>
        <v>|</v>
      </c>
      <c r="P88" s="61" t="str">
        <f>IF(tblTasks[[#This Row],[案件ID]]="","",IFERROR(MATCH(tblTasks[[#This Row],[案件ID]],tblCases[案件ID],0),""))</f>
        <v/>
      </c>
      <c r="Q88" s="61">
        <f>IF(tblTasks[[#This Row],[案件行]]="",0,INDEX(tblCases[連絡停止],tblTasks[[#This Row],[案件行]]))</f>
        <v>0</v>
      </c>
      <c r="R88" s="61" t="str">
        <f>IF(tblTasks[[#This Row],[案件行]]="","",INDEX(tblCases[状態区分],tblTasks[[#This Row],[案件行]])&amp;"")</f>
        <v/>
      </c>
      <c r="S88" s="61">
        <f>IF(AND(tblTasks[[#This Row],[タスクID]]&lt;&gt;"",OR(tblTasks[[#This Row],[状態]]="未着手",tblTasks[[#This Row],[状態]]="対応中")),1,0)</f>
        <v>0</v>
      </c>
      <c r="T8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8" s="61">
        <f>IF(OR(HomeStaff="",HomeStaff="全員",HomeStaff=tblTasks[[#This Row],[担当者]]),1,0)</f>
        <v>1</v>
      </c>
      <c r="W88" s="61">
        <f>IF(ISNUMBER(tblTasks[[#This Row],[期限日]]),INT(tblTasks[[#This Row],[期限日]]),99999)*100000+N(tblTasks[[#This Row],[ID番号]])</f>
        <v>9999900000</v>
      </c>
      <c r="X88" s="61">
        <f>IF(AND(OR(tblTasks[[#This Row],[表示区分]]="期限超過",tblTasks[[#This Row],[表示区分]]="本日"),tblTasks[[#This Row],[担当一致]]=1),1,0)</f>
        <v>0</v>
      </c>
      <c r="Y88" s="61" t="str">
        <f>IF(tblTasks[[#This Row],[一覧1対象]]=1,COUNTIFS(tblTasks[一覧1対象],1,tblTasks[並びキー],"&lt;"&amp;tblTasks[[#This Row],[並びキー]])+1,"")</f>
        <v/>
      </c>
      <c r="Z8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8" s="61" t="str">
        <f>IF(tblTasks[[#This Row],[一覧3対象]]=1,COUNTIFS(tblTasks[一覧3対象],1,tblTasks[並びキー],"&lt;"&amp;tblTasks[[#This Row],[並びキー]])+1,"")</f>
        <v/>
      </c>
      <c r="AB88" s="61">
        <f>IF(AND(tblTasks[[#This Row],[表示区分]]="今後",INT(N(tblTasks[[#This Row],[期限日]]))&lt;=RefDate+UpcomingDays,tblTasks[[#This Row],[担当一致]]=1),1,0)</f>
        <v>0</v>
      </c>
      <c r="AC88" s="61" t="str">
        <f>IF(tblTasks[[#This Row],[一覧4対象]]=1,COUNTIFS(tblTasks[一覧4対象],1,tblTasks[並びキー],"&lt;"&amp;tblTasks[[#This Row],[並びキー]])+1,"")</f>
        <v/>
      </c>
    </row>
    <row r="89">
      <c r="A89" s="49" t="n"/>
      <c r="B89" s="49" t="n"/>
      <c r="C89" s="50" t="str">
        <f>IF(tblTasks[[#This Row],[案件ID]]="","",IF(tblTasks[[#This Row],[案件行]]="","（未登録の案件ID）",INDEX(tblCases[顧客名],tblTasks[[#This Row],[案件行]])&amp;""))</f>
        <v/>
      </c>
      <c r="D89" s="50" t="str">
        <f>IF(tblTasks[[#This Row],[案件行]]="","",INDEX(tblCases[案件名],tblTasks[[#This Row],[案件行]])&amp;"")</f>
        <v/>
      </c>
      <c r="E89" s="52" t="n"/>
      <c r="F89" s="51" t="n"/>
      <c r="G89" s="65" t="n"/>
      <c r="H89" s="52" t="n"/>
      <c r="I89" s="52" t="n"/>
      <c r="J8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89" s="59" t="n"/>
      <c r="L89" s="51" t="n"/>
      <c r="M8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89" s="61" t="str">
        <f>IFERROR(VALUE(MID(tblTasks[[#This Row],[タスクID]],2,20)),"")</f>
        <v/>
      </c>
      <c r="O89" s="61" t="str">
        <f>tblTasks[[#This Row],[案件ID]]&amp;"|"&amp;tblTasks[[#This Row],[ID番号]]</f>
        <v>|</v>
      </c>
      <c r="P89" s="61" t="str">
        <f>IF(tblTasks[[#This Row],[案件ID]]="","",IFERROR(MATCH(tblTasks[[#This Row],[案件ID]],tblCases[案件ID],0),""))</f>
        <v/>
      </c>
      <c r="Q89" s="61">
        <f>IF(tblTasks[[#This Row],[案件行]]="",0,INDEX(tblCases[連絡停止],tblTasks[[#This Row],[案件行]]))</f>
        <v>0</v>
      </c>
      <c r="R89" s="61" t="str">
        <f>IF(tblTasks[[#This Row],[案件行]]="","",INDEX(tblCases[状態区分],tblTasks[[#This Row],[案件行]])&amp;"")</f>
        <v/>
      </c>
      <c r="S89" s="61">
        <f>IF(AND(tblTasks[[#This Row],[タスクID]]&lt;&gt;"",OR(tblTasks[[#This Row],[状態]]="未着手",tblTasks[[#This Row],[状態]]="対応中")),1,0)</f>
        <v>0</v>
      </c>
      <c r="T8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8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89" s="61">
        <f>IF(OR(HomeStaff="",HomeStaff="全員",HomeStaff=tblTasks[[#This Row],[担当者]]),1,0)</f>
        <v>1</v>
      </c>
      <c r="W89" s="61">
        <f>IF(ISNUMBER(tblTasks[[#This Row],[期限日]]),INT(tblTasks[[#This Row],[期限日]]),99999)*100000+N(tblTasks[[#This Row],[ID番号]])</f>
        <v>9999900000</v>
      </c>
      <c r="X89" s="61">
        <f>IF(AND(OR(tblTasks[[#This Row],[表示区分]]="期限超過",tblTasks[[#This Row],[表示区分]]="本日"),tblTasks[[#This Row],[担当一致]]=1),1,0)</f>
        <v>0</v>
      </c>
      <c r="Y89" s="61" t="str">
        <f>IF(tblTasks[[#This Row],[一覧1対象]]=1,COUNTIFS(tblTasks[一覧1対象],1,tblTasks[並びキー],"&lt;"&amp;tblTasks[[#This Row],[並びキー]])+1,"")</f>
        <v/>
      </c>
      <c r="Z8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89" s="61" t="str">
        <f>IF(tblTasks[[#This Row],[一覧3対象]]=1,COUNTIFS(tblTasks[一覧3対象],1,tblTasks[並びキー],"&lt;"&amp;tblTasks[[#This Row],[並びキー]])+1,"")</f>
        <v/>
      </c>
      <c r="AB89" s="61">
        <f>IF(AND(tblTasks[[#This Row],[表示区分]]="今後",INT(N(tblTasks[[#This Row],[期限日]]))&lt;=RefDate+UpcomingDays,tblTasks[[#This Row],[担当一致]]=1),1,0)</f>
        <v>0</v>
      </c>
      <c r="AC89" s="61" t="str">
        <f>IF(tblTasks[[#This Row],[一覧4対象]]=1,COUNTIFS(tblTasks[一覧4対象],1,tblTasks[並びキー],"&lt;"&amp;tblTasks[[#This Row],[並びキー]])+1,"")</f>
        <v/>
      </c>
    </row>
    <row r="90">
      <c r="A90" s="49" t="n"/>
      <c r="B90" s="49" t="n"/>
      <c r="C90" s="50" t="str">
        <f>IF(tblTasks[[#This Row],[案件ID]]="","",IF(tblTasks[[#This Row],[案件行]]="","（未登録の案件ID）",INDEX(tblCases[顧客名],tblTasks[[#This Row],[案件行]])&amp;""))</f>
        <v/>
      </c>
      <c r="D90" s="50" t="str">
        <f>IF(tblTasks[[#This Row],[案件行]]="","",INDEX(tblCases[案件名],tblTasks[[#This Row],[案件行]])&amp;"")</f>
        <v/>
      </c>
      <c r="E90" s="52" t="n"/>
      <c r="F90" s="51" t="n"/>
      <c r="G90" s="65" t="n"/>
      <c r="H90" s="52" t="n"/>
      <c r="I90" s="52" t="n"/>
      <c r="J9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0" s="59" t="n"/>
      <c r="L90" s="51" t="n"/>
      <c r="M9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0" s="61" t="str">
        <f>IFERROR(VALUE(MID(tblTasks[[#This Row],[タスクID]],2,20)),"")</f>
        <v/>
      </c>
      <c r="O90" s="61" t="str">
        <f>tblTasks[[#This Row],[案件ID]]&amp;"|"&amp;tblTasks[[#This Row],[ID番号]]</f>
        <v>|</v>
      </c>
      <c r="P90" s="61" t="str">
        <f>IF(tblTasks[[#This Row],[案件ID]]="","",IFERROR(MATCH(tblTasks[[#This Row],[案件ID]],tblCases[案件ID],0),""))</f>
        <v/>
      </c>
      <c r="Q90" s="61">
        <f>IF(tblTasks[[#This Row],[案件行]]="",0,INDEX(tblCases[連絡停止],tblTasks[[#This Row],[案件行]]))</f>
        <v>0</v>
      </c>
      <c r="R90" s="61" t="str">
        <f>IF(tblTasks[[#This Row],[案件行]]="","",INDEX(tblCases[状態区分],tblTasks[[#This Row],[案件行]])&amp;"")</f>
        <v/>
      </c>
      <c r="S90" s="61">
        <f>IF(AND(tblTasks[[#This Row],[タスクID]]&lt;&gt;"",OR(tblTasks[[#This Row],[状態]]="未着手",tblTasks[[#This Row],[状態]]="対応中")),1,0)</f>
        <v>0</v>
      </c>
      <c r="T9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0" s="61">
        <f>IF(OR(HomeStaff="",HomeStaff="全員",HomeStaff=tblTasks[[#This Row],[担当者]]),1,0)</f>
        <v>1</v>
      </c>
      <c r="W90" s="61">
        <f>IF(ISNUMBER(tblTasks[[#This Row],[期限日]]),INT(tblTasks[[#This Row],[期限日]]),99999)*100000+N(tblTasks[[#This Row],[ID番号]])</f>
        <v>9999900000</v>
      </c>
      <c r="X90" s="61">
        <f>IF(AND(OR(tblTasks[[#This Row],[表示区分]]="期限超過",tblTasks[[#This Row],[表示区分]]="本日"),tblTasks[[#This Row],[担当一致]]=1),1,0)</f>
        <v>0</v>
      </c>
      <c r="Y90" s="61" t="str">
        <f>IF(tblTasks[[#This Row],[一覧1対象]]=1,COUNTIFS(tblTasks[一覧1対象],1,tblTasks[並びキー],"&lt;"&amp;tblTasks[[#This Row],[並びキー]])+1,"")</f>
        <v/>
      </c>
      <c r="Z9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0" s="61" t="str">
        <f>IF(tblTasks[[#This Row],[一覧3対象]]=1,COUNTIFS(tblTasks[一覧3対象],1,tblTasks[並びキー],"&lt;"&amp;tblTasks[[#This Row],[並びキー]])+1,"")</f>
        <v/>
      </c>
      <c r="AB90" s="61">
        <f>IF(AND(tblTasks[[#This Row],[表示区分]]="今後",INT(N(tblTasks[[#This Row],[期限日]]))&lt;=RefDate+UpcomingDays,tblTasks[[#This Row],[担当一致]]=1),1,0)</f>
        <v>0</v>
      </c>
      <c r="AC90" s="61" t="str">
        <f>IF(tblTasks[[#This Row],[一覧4対象]]=1,COUNTIFS(tblTasks[一覧4対象],1,tblTasks[並びキー],"&lt;"&amp;tblTasks[[#This Row],[並びキー]])+1,"")</f>
        <v/>
      </c>
    </row>
    <row r="91">
      <c r="A91" s="49" t="n"/>
      <c r="B91" s="49" t="n"/>
      <c r="C91" s="50" t="str">
        <f>IF(tblTasks[[#This Row],[案件ID]]="","",IF(tblTasks[[#This Row],[案件行]]="","（未登録の案件ID）",INDEX(tblCases[顧客名],tblTasks[[#This Row],[案件行]])&amp;""))</f>
        <v/>
      </c>
      <c r="D91" s="50" t="str">
        <f>IF(tblTasks[[#This Row],[案件行]]="","",INDEX(tblCases[案件名],tblTasks[[#This Row],[案件行]])&amp;"")</f>
        <v/>
      </c>
      <c r="E91" s="52" t="n"/>
      <c r="F91" s="51" t="n"/>
      <c r="G91" s="65" t="n"/>
      <c r="H91" s="52" t="n"/>
      <c r="I91" s="52" t="n"/>
      <c r="J9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1" s="59" t="n"/>
      <c r="L91" s="51" t="n"/>
      <c r="M9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1" s="61" t="str">
        <f>IFERROR(VALUE(MID(tblTasks[[#This Row],[タスクID]],2,20)),"")</f>
        <v/>
      </c>
      <c r="O91" s="61" t="str">
        <f>tblTasks[[#This Row],[案件ID]]&amp;"|"&amp;tblTasks[[#This Row],[ID番号]]</f>
        <v>|</v>
      </c>
      <c r="P91" s="61" t="str">
        <f>IF(tblTasks[[#This Row],[案件ID]]="","",IFERROR(MATCH(tblTasks[[#This Row],[案件ID]],tblCases[案件ID],0),""))</f>
        <v/>
      </c>
      <c r="Q91" s="61">
        <f>IF(tblTasks[[#This Row],[案件行]]="",0,INDEX(tblCases[連絡停止],tblTasks[[#This Row],[案件行]]))</f>
        <v>0</v>
      </c>
      <c r="R91" s="61" t="str">
        <f>IF(tblTasks[[#This Row],[案件行]]="","",INDEX(tblCases[状態区分],tblTasks[[#This Row],[案件行]])&amp;"")</f>
        <v/>
      </c>
      <c r="S91" s="61">
        <f>IF(AND(tblTasks[[#This Row],[タスクID]]&lt;&gt;"",OR(tblTasks[[#This Row],[状態]]="未着手",tblTasks[[#This Row],[状態]]="対応中")),1,0)</f>
        <v>0</v>
      </c>
      <c r="T9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1" s="61">
        <f>IF(OR(HomeStaff="",HomeStaff="全員",HomeStaff=tblTasks[[#This Row],[担当者]]),1,0)</f>
        <v>1</v>
      </c>
      <c r="W91" s="61">
        <f>IF(ISNUMBER(tblTasks[[#This Row],[期限日]]),INT(tblTasks[[#This Row],[期限日]]),99999)*100000+N(tblTasks[[#This Row],[ID番号]])</f>
        <v>9999900000</v>
      </c>
      <c r="X91" s="61">
        <f>IF(AND(OR(tblTasks[[#This Row],[表示区分]]="期限超過",tblTasks[[#This Row],[表示区分]]="本日"),tblTasks[[#This Row],[担当一致]]=1),1,0)</f>
        <v>0</v>
      </c>
      <c r="Y91" s="61" t="str">
        <f>IF(tblTasks[[#This Row],[一覧1対象]]=1,COUNTIFS(tblTasks[一覧1対象],1,tblTasks[並びキー],"&lt;"&amp;tblTasks[[#This Row],[並びキー]])+1,"")</f>
        <v/>
      </c>
      <c r="Z9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1" s="61" t="str">
        <f>IF(tblTasks[[#This Row],[一覧3対象]]=1,COUNTIFS(tblTasks[一覧3対象],1,tblTasks[並びキー],"&lt;"&amp;tblTasks[[#This Row],[並びキー]])+1,"")</f>
        <v/>
      </c>
      <c r="AB91" s="61">
        <f>IF(AND(tblTasks[[#This Row],[表示区分]]="今後",INT(N(tblTasks[[#This Row],[期限日]]))&lt;=RefDate+UpcomingDays,tblTasks[[#This Row],[担当一致]]=1),1,0)</f>
        <v>0</v>
      </c>
      <c r="AC91" s="61" t="str">
        <f>IF(tblTasks[[#This Row],[一覧4対象]]=1,COUNTIFS(tblTasks[一覧4対象],1,tblTasks[並びキー],"&lt;"&amp;tblTasks[[#This Row],[並びキー]])+1,"")</f>
        <v/>
      </c>
    </row>
    <row r="92">
      <c r="A92" s="49" t="n"/>
      <c r="B92" s="49" t="n"/>
      <c r="C92" s="50" t="str">
        <f>IF(tblTasks[[#This Row],[案件ID]]="","",IF(tblTasks[[#This Row],[案件行]]="","（未登録の案件ID）",INDEX(tblCases[顧客名],tblTasks[[#This Row],[案件行]])&amp;""))</f>
        <v/>
      </c>
      <c r="D92" s="50" t="str">
        <f>IF(tblTasks[[#This Row],[案件行]]="","",INDEX(tblCases[案件名],tblTasks[[#This Row],[案件行]])&amp;"")</f>
        <v/>
      </c>
      <c r="E92" s="52" t="n"/>
      <c r="F92" s="51" t="n"/>
      <c r="G92" s="65" t="n"/>
      <c r="H92" s="52" t="n"/>
      <c r="I92" s="52" t="n"/>
      <c r="J9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2" s="59" t="n"/>
      <c r="L92" s="51" t="n"/>
      <c r="M9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2" s="61" t="str">
        <f>IFERROR(VALUE(MID(tblTasks[[#This Row],[タスクID]],2,20)),"")</f>
        <v/>
      </c>
      <c r="O92" s="61" t="str">
        <f>tblTasks[[#This Row],[案件ID]]&amp;"|"&amp;tblTasks[[#This Row],[ID番号]]</f>
        <v>|</v>
      </c>
      <c r="P92" s="61" t="str">
        <f>IF(tblTasks[[#This Row],[案件ID]]="","",IFERROR(MATCH(tblTasks[[#This Row],[案件ID]],tblCases[案件ID],0),""))</f>
        <v/>
      </c>
      <c r="Q92" s="61">
        <f>IF(tblTasks[[#This Row],[案件行]]="",0,INDEX(tblCases[連絡停止],tblTasks[[#This Row],[案件行]]))</f>
        <v>0</v>
      </c>
      <c r="R92" s="61" t="str">
        <f>IF(tblTasks[[#This Row],[案件行]]="","",INDEX(tblCases[状態区分],tblTasks[[#This Row],[案件行]])&amp;"")</f>
        <v/>
      </c>
      <c r="S92" s="61">
        <f>IF(AND(tblTasks[[#This Row],[タスクID]]&lt;&gt;"",OR(tblTasks[[#This Row],[状態]]="未着手",tblTasks[[#This Row],[状態]]="対応中")),1,0)</f>
        <v>0</v>
      </c>
      <c r="T9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2" s="61">
        <f>IF(OR(HomeStaff="",HomeStaff="全員",HomeStaff=tblTasks[[#This Row],[担当者]]),1,0)</f>
        <v>1</v>
      </c>
      <c r="W92" s="61">
        <f>IF(ISNUMBER(tblTasks[[#This Row],[期限日]]),INT(tblTasks[[#This Row],[期限日]]),99999)*100000+N(tblTasks[[#This Row],[ID番号]])</f>
        <v>9999900000</v>
      </c>
      <c r="X92" s="61">
        <f>IF(AND(OR(tblTasks[[#This Row],[表示区分]]="期限超過",tblTasks[[#This Row],[表示区分]]="本日"),tblTasks[[#This Row],[担当一致]]=1),1,0)</f>
        <v>0</v>
      </c>
      <c r="Y92" s="61" t="str">
        <f>IF(tblTasks[[#This Row],[一覧1対象]]=1,COUNTIFS(tblTasks[一覧1対象],1,tblTasks[並びキー],"&lt;"&amp;tblTasks[[#This Row],[並びキー]])+1,"")</f>
        <v/>
      </c>
      <c r="Z9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2" s="61" t="str">
        <f>IF(tblTasks[[#This Row],[一覧3対象]]=1,COUNTIFS(tblTasks[一覧3対象],1,tblTasks[並びキー],"&lt;"&amp;tblTasks[[#This Row],[並びキー]])+1,"")</f>
        <v/>
      </c>
      <c r="AB92" s="61">
        <f>IF(AND(tblTasks[[#This Row],[表示区分]]="今後",INT(N(tblTasks[[#This Row],[期限日]]))&lt;=RefDate+UpcomingDays,tblTasks[[#This Row],[担当一致]]=1),1,0)</f>
        <v>0</v>
      </c>
      <c r="AC92" s="61" t="str">
        <f>IF(tblTasks[[#This Row],[一覧4対象]]=1,COUNTIFS(tblTasks[一覧4対象],1,tblTasks[並びキー],"&lt;"&amp;tblTasks[[#This Row],[並びキー]])+1,"")</f>
        <v/>
      </c>
    </row>
    <row r="93">
      <c r="A93" s="49" t="n"/>
      <c r="B93" s="49" t="n"/>
      <c r="C93" s="50" t="str">
        <f>IF(tblTasks[[#This Row],[案件ID]]="","",IF(tblTasks[[#This Row],[案件行]]="","（未登録の案件ID）",INDEX(tblCases[顧客名],tblTasks[[#This Row],[案件行]])&amp;""))</f>
        <v/>
      </c>
      <c r="D93" s="50" t="str">
        <f>IF(tblTasks[[#This Row],[案件行]]="","",INDEX(tblCases[案件名],tblTasks[[#This Row],[案件行]])&amp;"")</f>
        <v/>
      </c>
      <c r="E93" s="52" t="n"/>
      <c r="F93" s="51" t="n"/>
      <c r="G93" s="65" t="n"/>
      <c r="H93" s="52" t="n"/>
      <c r="I93" s="52" t="n"/>
      <c r="J9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3" s="59" t="n"/>
      <c r="L93" s="51" t="n"/>
      <c r="M9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3" s="61" t="str">
        <f>IFERROR(VALUE(MID(tblTasks[[#This Row],[タスクID]],2,20)),"")</f>
        <v/>
      </c>
      <c r="O93" s="61" t="str">
        <f>tblTasks[[#This Row],[案件ID]]&amp;"|"&amp;tblTasks[[#This Row],[ID番号]]</f>
        <v>|</v>
      </c>
      <c r="P93" s="61" t="str">
        <f>IF(tblTasks[[#This Row],[案件ID]]="","",IFERROR(MATCH(tblTasks[[#This Row],[案件ID]],tblCases[案件ID],0),""))</f>
        <v/>
      </c>
      <c r="Q93" s="61">
        <f>IF(tblTasks[[#This Row],[案件行]]="",0,INDEX(tblCases[連絡停止],tblTasks[[#This Row],[案件行]]))</f>
        <v>0</v>
      </c>
      <c r="R93" s="61" t="str">
        <f>IF(tblTasks[[#This Row],[案件行]]="","",INDEX(tblCases[状態区分],tblTasks[[#This Row],[案件行]])&amp;"")</f>
        <v/>
      </c>
      <c r="S93" s="61">
        <f>IF(AND(tblTasks[[#This Row],[タスクID]]&lt;&gt;"",OR(tblTasks[[#This Row],[状態]]="未着手",tblTasks[[#This Row],[状態]]="対応中")),1,0)</f>
        <v>0</v>
      </c>
      <c r="T9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3" s="61">
        <f>IF(OR(HomeStaff="",HomeStaff="全員",HomeStaff=tblTasks[[#This Row],[担当者]]),1,0)</f>
        <v>1</v>
      </c>
      <c r="W93" s="61">
        <f>IF(ISNUMBER(tblTasks[[#This Row],[期限日]]),INT(tblTasks[[#This Row],[期限日]]),99999)*100000+N(tblTasks[[#This Row],[ID番号]])</f>
        <v>9999900000</v>
      </c>
      <c r="X93" s="61">
        <f>IF(AND(OR(tblTasks[[#This Row],[表示区分]]="期限超過",tblTasks[[#This Row],[表示区分]]="本日"),tblTasks[[#This Row],[担当一致]]=1),1,0)</f>
        <v>0</v>
      </c>
      <c r="Y93" s="61" t="str">
        <f>IF(tblTasks[[#This Row],[一覧1対象]]=1,COUNTIFS(tblTasks[一覧1対象],1,tblTasks[並びキー],"&lt;"&amp;tblTasks[[#This Row],[並びキー]])+1,"")</f>
        <v/>
      </c>
      <c r="Z9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3" s="61" t="str">
        <f>IF(tblTasks[[#This Row],[一覧3対象]]=1,COUNTIFS(tblTasks[一覧3対象],1,tblTasks[並びキー],"&lt;"&amp;tblTasks[[#This Row],[並びキー]])+1,"")</f>
        <v/>
      </c>
      <c r="AB93" s="61">
        <f>IF(AND(tblTasks[[#This Row],[表示区分]]="今後",INT(N(tblTasks[[#This Row],[期限日]]))&lt;=RefDate+UpcomingDays,tblTasks[[#This Row],[担当一致]]=1),1,0)</f>
        <v>0</v>
      </c>
      <c r="AC93" s="61" t="str">
        <f>IF(tblTasks[[#This Row],[一覧4対象]]=1,COUNTIFS(tblTasks[一覧4対象],1,tblTasks[並びキー],"&lt;"&amp;tblTasks[[#This Row],[並びキー]])+1,"")</f>
        <v/>
      </c>
    </row>
    <row r="94">
      <c r="A94" s="49" t="n"/>
      <c r="B94" s="49" t="n"/>
      <c r="C94" s="50" t="str">
        <f>IF(tblTasks[[#This Row],[案件ID]]="","",IF(tblTasks[[#This Row],[案件行]]="","（未登録の案件ID）",INDEX(tblCases[顧客名],tblTasks[[#This Row],[案件行]])&amp;""))</f>
        <v/>
      </c>
      <c r="D94" s="50" t="str">
        <f>IF(tblTasks[[#This Row],[案件行]]="","",INDEX(tblCases[案件名],tblTasks[[#This Row],[案件行]])&amp;"")</f>
        <v/>
      </c>
      <c r="E94" s="52" t="n"/>
      <c r="F94" s="51" t="n"/>
      <c r="G94" s="65" t="n"/>
      <c r="H94" s="52" t="n"/>
      <c r="I94" s="52" t="n"/>
      <c r="J9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4" s="59" t="n"/>
      <c r="L94" s="51" t="n"/>
      <c r="M9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4" s="61" t="str">
        <f>IFERROR(VALUE(MID(tblTasks[[#This Row],[タスクID]],2,20)),"")</f>
        <v/>
      </c>
      <c r="O94" s="61" t="str">
        <f>tblTasks[[#This Row],[案件ID]]&amp;"|"&amp;tblTasks[[#This Row],[ID番号]]</f>
        <v>|</v>
      </c>
      <c r="P94" s="61" t="str">
        <f>IF(tblTasks[[#This Row],[案件ID]]="","",IFERROR(MATCH(tblTasks[[#This Row],[案件ID]],tblCases[案件ID],0),""))</f>
        <v/>
      </c>
      <c r="Q94" s="61">
        <f>IF(tblTasks[[#This Row],[案件行]]="",0,INDEX(tblCases[連絡停止],tblTasks[[#This Row],[案件行]]))</f>
        <v>0</v>
      </c>
      <c r="R94" s="61" t="str">
        <f>IF(tblTasks[[#This Row],[案件行]]="","",INDEX(tblCases[状態区分],tblTasks[[#This Row],[案件行]])&amp;"")</f>
        <v/>
      </c>
      <c r="S94" s="61">
        <f>IF(AND(tblTasks[[#This Row],[タスクID]]&lt;&gt;"",OR(tblTasks[[#This Row],[状態]]="未着手",tblTasks[[#This Row],[状態]]="対応中")),1,0)</f>
        <v>0</v>
      </c>
      <c r="T9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4" s="61">
        <f>IF(OR(HomeStaff="",HomeStaff="全員",HomeStaff=tblTasks[[#This Row],[担当者]]),1,0)</f>
        <v>1</v>
      </c>
      <c r="W94" s="61">
        <f>IF(ISNUMBER(tblTasks[[#This Row],[期限日]]),INT(tblTasks[[#This Row],[期限日]]),99999)*100000+N(tblTasks[[#This Row],[ID番号]])</f>
        <v>9999900000</v>
      </c>
      <c r="X94" s="61">
        <f>IF(AND(OR(tblTasks[[#This Row],[表示区分]]="期限超過",tblTasks[[#This Row],[表示区分]]="本日"),tblTasks[[#This Row],[担当一致]]=1),1,0)</f>
        <v>0</v>
      </c>
      <c r="Y94" s="61" t="str">
        <f>IF(tblTasks[[#This Row],[一覧1対象]]=1,COUNTIFS(tblTasks[一覧1対象],1,tblTasks[並びキー],"&lt;"&amp;tblTasks[[#This Row],[並びキー]])+1,"")</f>
        <v/>
      </c>
      <c r="Z9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4" s="61" t="str">
        <f>IF(tblTasks[[#This Row],[一覧3対象]]=1,COUNTIFS(tblTasks[一覧3対象],1,tblTasks[並びキー],"&lt;"&amp;tblTasks[[#This Row],[並びキー]])+1,"")</f>
        <v/>
      </c>
      <c r="AB94" s="61">
        <f>IF(AND(tblTasks[[#This Row],[表示区分]]="今後",INT(N(tblTasks[[#This Row],[期限日]]))&lt;=RefDate+UpcomingDays,tblTasks[[#This Row],[担当一致]]=1),1,0)</f>
        <v>0</v>
      </c>
      <c r="AC94" s="61" t="str">
        <f>IF(tblTasks[[#This Row],[一覧4対象]]=1,COUNTIFS(tblTasks[一覧4対象],1,tblTasks[並びキー],"&lt;"&amp;tblTasks[[#This Row],[並びキー]])+1,"")</f>
        <v/>
      </c>
    </row>
    <row r="95">
      <c r="A95" s="49" t="n"/>
      <c r="B95" s="49" t="n"/>
      <c r="C95" s="50" t="str">
        <f>IF(tblTasks[[#This Row],[案件ID]]="","",IF(tblTasks[[#This Row],[案件行]]="","（未登録の案件ID）",INDEX(tblCases[顧客名],tblTasks[[#This Row],[案件行]])&amp;""))</f>
        <v/>
      </c>
      <c r="D95" s="50" t="str">
        <f>IF(tblTasks[[#This Row],[案件行]]="","",INDEX(tblCases[案件名],tblTasks[[#This Row],[案件行]])&amp;"")</f>
        <v/>
      </c>
      <c r="E95" s="52" t="n"/>
      <c r="F95" s="51" t="n"/>
      <c r="G95" s="65" t="n"/>
      <c r="H95" s="52" t="n"/>
      <c r="I95" s="52" t="n"/>
      <c r="J95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5" s="59" t="n"/>
      <c r="L95" s="51" t="n"/>
      <c r="M95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5" s="61" t="str">
        <f>IFERROR(VALUE(MID(tblTasks[[#This Row],[タスクID]],2,20)),"")</f>
        <v/>
      </c>
      <c r="O95" s="61" t="str">
        <f>tblTasks[[#This Row],[案件ID]]&amp;"|"&amp;tblTasks[[#This Row],[ID番号]]</f>
        <v>|</v>
      </c>
      <c r="P95" s="61" t="str">
        <f>IF(tblTasks[[#This Row],[案件ID]]="","",IFERROR(MATCH(tblTasks[[#This Row],[案件ID]],tblCases[案件ID],0),""))</f>
        <v/>
      </c>
      <c r="Q95" s="61">
        <f>IF(tblTasks[[#This Row],[案件行]]="",0,INDEX(tblCases[連絡停止],tblTasks[[#This Row],[案件行]]))</f>
        <v>0</v>
      </c>
      <c r="R95" s="61" t="str">
        <f>IF(tblTasks[[#This Row],[案件行]]="","",INDEX(tblCases[状態区分],tblTasks[[#This Row],[案件行]])&amp;"")</f>
        <v/>
      </c>
      <c r="S95" s="61">
        <f>IF(AND(tblTasks[[#This Row],[タスクID]]&lt;&gt;"",OR(tblTasks[[#This Row],[状態]]="未着手",tblTasks[[#This Row],[状態]]="対応中")),1,0)</f>
        <v>0</v>
      </c>
      <c r="T95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5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5" s="61">
        <f>IF(OR(HomeStaff="",HomeStaff="全員",HomeStaff=tblTasks[[#This Row],[担当者]]),1,0)</f>
        <v>1</v>
      </c>
      <c r="W95" s="61">
        <f>IF(ISNUMBER(tblTasks[[#This Row],[期限日]]),INT(tblTasks[[#This Row],[期限日]]),99999)*100000+N(tblTasks[[#This Row],[ID番号]])</f>
        <v>9999900000</v>
      </c>
      <c r="X95" s="61">
        <f>IF(AND(OR(tblTasks[[#This Row],[表示区分]]="期限超過",tblTasks[[#This Row],[表示区分]]="本日"),tblTasks[[#This Row],[担当一致]]=1),1,0)</f>
        <v>0</v>
      </c>
      <c r="Y95" s="61" t="str">
        <f>IF(tblTasks[[#This Row],[一覧1対象]]=1,COUNTIFS(tblTasks[一覧1対象],1,tblTasks[並びキー],"&lt;"&amp;tblTasks[[#This Row],[並びキー]])+1,"")</f>
        <v/>
      </c>
      <c r="Z95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5" s="61" t="str">
        <f>IF(tblTasks[[#This Row],[一覧3対象]]=1,COUNTIFS(tblTasks[一覧3対象],1,tblTasks[並びキー],"&lt;"&amp;tblTasks[[#This Row],[並びキー]])+1,"")</f>
        <v/>
      </c>
      <c r="AB95" s="61">
        <f>IF(AND(tblTasks[[#This Row],[表示区分]]="今後",INT(N(tblTasks[[#This Row],[期限日]]))&lt;=RefDate+UpcomingDays,tblTasks[[#This Row],[担当一致]]=1),1,0)</f>
        <v>0</v>
      </c>
      <c r="AC95" s="61" t="str">
        <f>IF(tblTasks[[#This Row],[一覧4対象]]=1,COUNTIFS(tblTasks[一覧4対象],1,tblTasks[並びキー],"&lt;"&amp;tblTasks[[#This Row],[並びキー]])+1,"")</f>
        <v/>
      </c>
    </row>
    <row r="96">
      <c r="A96" s="49" t="n"/>
      <c r="B96" s="49" t="n"/>
      <c r="C96" s="50" t="str">
        <f>IF(tblTasks[[#This Row],[案件ID]]="","",IF(tblTasks[[#This Row],[案件行]]="","（未登録の案件ID）",INDEX(tblCases[顧客名],tblTasks[[#This Row],[案件行]])&amp;""))</f>
        <v/>
      </c>
      <c r="D96" s="50" t="str">
        <f>IF(tblTasks[[#This Row],[案件行]]="","",INDEX(tblCases[案件名],tblTasks[[#This Row],[案件行]])&amp;"")</f>
        <v/>
      </c>
      <c r="E96" s="52" t="n"/>
      <c r="F96" s="51" t="n"/>
      <c r="G96" s="65" t="n"/>
      <c r="H96" s="52" t="n"/>
      <c r="I96" s="52" t="n"/>
      <c r="J96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6" s="59" t="n"/>
      <c r="L96" s="51" t="n"/>
      <c r="M96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6" s="61" t="str">
        <f>IFERROR(VALUE(MID(tblTasks[[#This Row],[タスクID]],2,20)),"")</f>
        <v/>
      </c>
      <c r="O96" s="61" t="str">
        <f>tblTasks[[#This Row],[案件ID]]&amp;"|"&amp;tblTasks[[#This Row],[ID番号]]</f>
        <v>|</v>
      </c>
      <c r="P96" s="61" t="str">
        <f>IF(tblTasks[[#This Row],[案件ID]]="","",IFERROR(MATCH(tblTasks[[#This Row],[案件ID]],tblCases[案件ID],0),""))</f>
        <v/>
      </c>
      <c r="Q96" s="61">
        <f>IF(tblTasks[[#This Row],[案件行]]="",0,INDEX(tblCases[連絡停止],tblTasks[[#This Row],[案件行]]))</f>
        <v>0</v>
      </c>
      <c r="R96" s="61" t="str">
        <f>IF(tblTasks[[#This Row],[案件行]]="","",INDEX(tblCases[状態区分],tblTasks[[#This Row],[案件行]])&amp;"")</f>
        <v/>
      </c>
      <c r="S96" s="61">
        <f>IF(AND(tblTasks[[#This Row],[タスクID]]&lt;&gt;"",OR(tblTasks[[#This Row],[状態]]="未着手",tblTasks[[#This Row],[状態]]="対応中")),1,0)</f>
        <v>0</v>
      </c>
      <c r="T96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6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6" s="61">
        <f>IF(OR(HomeStaff="",HomeStaff="全員",HomeStaff=tblTasks[[#This Row],[担当者]]),1,0)</f>
        <v>1</v>
      </c>
      <c r="W96" s="61">
        <f>IF(ISNUMBER(tblTasks[[#This Row],[期限日]]),INT(tblTasks[[#This Row],[期限日]]),99999)*100000+N(tblTasks[[#This Row],[ID番号]])</f>
        <v>9999900000</v>
      </c>
      <c r="X96" s="61">
        <f>IF(AND(OR(tblTasks[[#This Row],[表示区分]]="期限超過",tblTasks[[#This Row],[表示区分]]="本日"),tblTasks[[#This Row],[担当一致]]=1),1,0)</f>
        <v>0</v>
      </c>
      <c r="Y96" s="61" t="str">
        <f>IF(tblTasks[[#This Row],[一覧1対象]]=1,COUNTIFS(tblTasks[一覧1対象],1,tblTasks[並びキー],"&lt;"&amp;tblTasks[[#This Row],[並びキー]])+1,"")</f>
        <v/>
      </c>
      <c r="Z96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6" s="61" t="str">
        <f>IF(tblTasks[[#This Row],[一覧3対象]]=1,COUNTIFS(tblTasks[一覧3対象],1,tblTasks[並びキー],"&lt;"&amp;tblTasks[[#This Row],[並びキー]])+1,"")</f>
        <v/>
      </c>
      <c r="AB96" s="61">
        <f>IF(AND(tblTasks[[#This Row],[表示区分]]="今後",INT(N(tblTasks[[#This Row],[期限日]]))&lt;=RefDate+UpcomingDays,tblTasks[[#This Row],[担当一致]]=1),1,0)</f>
        <v>0</v>
      </c>
      <c r="AC96" s="61" t="str">
        <f>IF(tblTasks[[#This Row],[一覧4対象]]=1,COUNTIFS(tblTasks[一覧4対象],1,tblTasks[並びキー],"&lt;"&amp;tblTasks[[#This Row],[並びキー]])+1,"")</f>
        <v/>
      </c>
    </row>
    <row r="97">
      <c r="A97" s="49" t="n"/>
      <c r="B97" s="49" t="n"/>
      <c r="C97" s="50" t="str">
        <f>IF(tblTasks[[#This Row],[案件ID]]="","",IF(tblTasks[[#This Row],[案件行]]="","（未登録の案件ID）",INDEX(tblCases[顧客名],tblTasks[[#This Row],[案件行]])&amp;""))</f>
        <v/>
      </c>
      <c r="D97" s="50" t="str">
        <f>IF(tblTasks[[#This Row],[案件行]]="","",INDEX(tblCases[案件名],tblTasks[[#This Row],[案件行]])&amp;"")</f>
        <v/>
      </c>
      <c r="E97" s="52" t="n"/>
      <c r="F97" s="51" t="n"/>
      <c r="G97" s="65" t="n"/>
      <c r="H97" s="52" t="n"/>
      <c r="I97" s="52" t="n"/>
      <c r="J97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7" s="59" t="n"/>
      <c r="L97" s="51" t="n"/>
      <c r="M97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7" s="61" t="str">
        <f>IFERROR(VALUE(MID(tblTasks[[#This Row],[タスクID]],2,20)),"")</f>
        <v/>
      </c>
      <c r="O97" s="61" t="str">
        <f>tblTasks[[#This Row],[案件ID]]&amp;"|"&amp;tblTasks[[#This Row],[ID番号]]</f>
        <v>|</v>
      </c>
      <c r="P97" s="61" t="str">
        <f>IF(tblTasks[[#This Row],[案件ID]]="","",IFERROR(MATCH(tblTasks[[#This Row],[案件ID]],tblCases[案件ID],0),""))</f>
        <v/>
      </c>
      <c r="Q97" s="61">
        <f>IF(tblTasks[[#This Row],[案件行]]="",0,INDEX(tblCases[連絡停止],tblTasks[[#This Row],[案件行]]))</f>
        <v>0</v>
      </c>
      <c r="R97" s="61" t="str">
        <f>IF(tblTasks[[#This Row],[案件行]]="","",INDEX(tblCases[状態区分],tblTasks[[#This Row],[案件行]])&amp;"")</f>
        <v/>
      </c>
      <c r="S97" s="61">
        <f>IF(AND(tblTasks[[#This Row],[タスクID]]&lt;&gt;"",OR(tblTasks[[#This Row],[状態]]="未着手",tblTasks[[#This Row],[状態]]="対応中")),1,0)</f>
        <v>0</v>
      </c>
      <c r="T97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7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7" s="61">
        <f>IF(OR(HomeStaff="",HomeStaff="全員",HomeStaff=tblTasks[[#This Row],[担当者]]),1,0)</f>
        <v>1</v>
      </c>
      <c r="W97" s="61">
        <f>IF(ISNUMBER(tblTasks[[#This Row],[期限日]]),INT(tblTasks[[#This Row],[期限日]]),99999)*100000+N(tblTasks[[#This Row],[ID番号]])</f>
        <v>9999900000</v>
      </c>
      <c r="X97" s="61">
        <f>IF(AND(OR(tblTasks[[#This Row],[表示区分]]="期限超過",tblTasks[[#This Row],[表示区分]]="本日"),tblTasks[[#This Row],[担当一致]]=1),1,0)</f>
        <v>0</v>
      </c>
      <c r="Y97" s="61" t="str">
        <f>IF(tblTasks[[#This Row],[一覧1対象]]=1,COUNTIFS(tblTasks[一覧1対象],1,tblTasks[並びキー],"&lt;"&amp;tblTasks[[#This Row],[並びキー]])+1,"")</f>
        <v/>
      </c>
      <c r="Z97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7" s="61" t="str">
        <f>IF(tblTasks[[#This Row],[一覧3対象]]=1,COUNTIFS(tblTasks[一覧3対象],1,tblTasks[並びキー],"&lt;"&amp;tblTasks[[#This Row],[並びキー]])+1,"")</f>
        <v/>
      </c>
      <c r="AB97" s="61">
        <f>IF(AND(tblTasks[[#This Row],[表示区分]]="今後",INT(N(tblTasks[[#This Row],[期限日]]))&lt;=RefDate+UpcomingDays,tblTasks[[#This Row],[担当一致]]=1),1,0)</f>
        <v>0</v>
      </c>
      <c r="AC97" s="61" t="str">
        <f>IF(tblTasks[[#This Row],[一覧4対象]]=1,COUNTIFS(tblTasks[一覧4対象],1,tblTasks[並びキー],"&lt;"&amp;tblTasks[[#This Row],[並びキー]])+1,"")</f>
        <v/>
      </c>
    </row>
    <row r="98">
      <c r="A98" s="49" t="n"/>
      <c r="B98" s="49" t="n"/>
      <c r="C98" s="50" t="str">
        <f>IF(tblTasks[[#This Row],[案件ID]]="","",IF(tblTasks[[#This Row],[案件行]]="","（未登録の案件ID）",INDEX(tblCases[顧客名],tblTasks[[#This Row],[案件行]])&amp;""))</f>
        <v/>
      </c>
      <c r="D98" s="50" t="str">
        <f>IF(tblTasks[[#This Row],[案件行]]="","",INDEX(tblCases[案件名],tblTasks[[#This Row],[案件行]])&amp;"")</f>
        <v/>
      </c>
      <c r="E98" s="52" t="n"/>
      <c r="F98" s="51" t="n"/>
      <c r="G98" s="65" t="n"/>
      <c r="H98" s="52" t="n"/>
      <c r="I98" s="52" t="n"/>
      <c r="J98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8" s="59" t="n"/>
      <c r="L98" s="51" t="n"/>
      <c r="M98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8" s="61" t="str">
        <f>IFERROR(VALUE(MID(tblTasks[[#This Row],[タスクID]],2,20)),"")</f>
        <v/>
      </c>
      <c r="O98" s="61" t="str">
        <f>tblTasks[[#This Row],[案件ID]]&amp;"|"&amp;tblTasks[[#This Row],[ID番号]]</f>
        <v>|</v>
      </c>
      <c r="P98" s="61" t="str">
        <f>IF(tblTasks[[#This Row],[案件ID]]="","",IFERROR(MATCH(tblTasks[[#This Row],[案件ID]],tblCases[案件ID],0),""))</f>
        <v/>
      </c>
      <c r="Q98" s="61">
        <f>IF(tblTasks[[#This Row],[案件行]]="",0,INDEX(tblCases[連絡停止],tblTasks[[#This Row],[案件行]]))</f>
        <v>0</v>
      </c>
      <c r="R98" s="61" t="str">
        <f>IF(tblTasks[[#This Row],[案件行]]="","",INDEX(tblCases[状態区分],tblTasks[[#This Row],[案件行]])&amp;"")</f>
        <v/>
      </c>
      <c r="S98" s="61">
        <f>IF(AND(tblTasks[[#This Row],[タスクID]]&lt;&gt;"",OR(tblTasks[[#This Row],[状態]]="未着手",tblTasks[[#This Row],[状態]]="対応中")),1,0)</f>
        <v>0</v>
      </c>
      <c r="T98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8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8" s="61">
        <f>IF(OR(HomeStaff="",HomeStaff="全員",HomeStaff=tblTasks[[#This Row],[担当者]]),1,0)</f>
        <v>1</v>
      </c>
      <c r="W98" s="61">
        <f>IF(ISNUMBER(tblTasks[[#This Row],[期限日]]),INT(tblTasks[[#This Row],[期限日]]),99999)*100000+N(tblTasks[[#This Row],[ID番号]])</f>
        <v>9999900000</v>
      </c>
      <c r="X98" s="61">
        <f>IF(AND(OR(tblTasks[[#This Row],[表示区分]]="期限超過",tblTasks[[#This Row],[表示区分]]="本日"),tblTasks[[#This Row],[担当一致]]=1),1,0)</f>
        <v>0</v>
      </c>
      <c r="Y98" s="61" t="str">
        <f>IF(tblTasks[[#This Row],[一覧1対象]]=1,COUNTIFS(tblTasks[一覧1対象],1,tblTasks[並びキー],"&lt;"&amp;tblTasks[[#This Row],[並びキー]])+1,"")</f>
        <v/>
      </c>
      <c r="Z98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8" s="61" t="str">
        <f>IF(tblTasks[[#This Row],[一覧3対象]]=1,COUNTIFS(tblTasks[一覧3対象],1,tblTasks[並びキー],"&lt;"&amp;tblTasks[[#This Row],[並びキー]])+1,"")</f>
        <v/>
      </c>
      <c r="AB98" s="61">
        <f>IF(AND(tblTasks[[#This Row],[表示区分]]="今後",INT(N(tblTasks[[#This Row],[期限日]]))&lt;=RefDate+UpcomingDays,tblTasks[[#This Row],[担当一致]]=1),1,0)</f>
        <v>0</v>
      </c>
      <c r="AC98" s="61" t="str">
        <f>IF(tblTasks[[#This Row],[一覧4対象]]=1,COUNTIFS(tblTasks[一覧4対象],1,tblTasks[並びキー],"&lt;"&amp;tblTasks[[#This Row],[並びキー]])+1,"")</f>
        <v/>
      </c>
    </row>
    <row r="99">
      <c r="A99" s="49" t="n"/>
      <c r="B99" s="49" t="n"/>
      <c r="C99" s="50" t="str">
        <f>IF(tblTasks[[#This Row],[案件ID]]="","",IF(tblTasks[[#This Row],[案件行]]="","（未登録の案件ID）",INDEX(tblCases[顧客名],tblTasks[[#This Row],[案件行]])&amp;""))</f>
        <v/>
      </c>
      <c r="D99" s="50" t="str">
        <f>IF(tblTasks[[#This Row],[案件行]]="","",INDEX(tblCases[案件名],tblTasks[[#This Row],[案件行]])&amp;"")</f>
        <v/>
      </c>
      <c r="E99" s="52" t="n"/>
      <c r="F99" s="51" t="n"/>
      <c r="G99" s="65" t="n"/>
      <c r="H99" s="52" t="n"/>
      <c r="I99" s="52" t="n"/>
      <c r="J99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99" s="59" t="n"/>
      <c r="L99" s="51" t="n"/>
      <c r="M99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99" s="61" t="str">
        <f>IFERROR(VALUE(MID(tblTasks[[#This Row],[タスクID]],2,20)),"")</f>
        <v/>
      </c>
      <c r="O99" s="61" t="str">
        <f>tblTasks[[#This Row],[案件ID]]&amp;"|"&amp;tblTasks[[#This Row],[ID番号]]</f>
        <v>|</v>
      </c>
      <c r="P99" s="61" t="str">
        <f>IF(tblTasks[[#This Row],[案件ID]]="","",IFERROR(MATCH(tblTasks[[#This Row],[案件ID]],tblCases[案件ID],0),""))</f>
        <v/>
      </c>
      <c r="Q99" s="61">
        <f>IF(tblTasks[[#This Row],[案件行]]="",0,INDEX(tblCases[連絡停止],tblTasks[[#This Row],[案件行]]))</f>
        <v>0</v>
      </c>
      <c r="R99" s="61" t="str">
        <f>IF(tblTasks[[#This Row],[案件行]]="","",INDEX(tblCases[状態区分],tblTasks[[#This Row],[案件行]])&amp;"")</f>
        <v/>
      </c>
      <c r="S99" s="61">
        <f>IF(AND(tblTasks[[#This Row],[タスクID]]&lt;&gt;"",OR(tblTasks[[#This Row],[状態]]="未着手",tblTasks[[#This Row],[状態]]="対応中")),1,0)</f>
        <v>0</v>
      </c>
      <c r="T99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99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99" s="61">
        <f>IF(OR(HomeStaff="",HomeStaff="全員",HomeStaff=tblTasks[[#This Row],[担当者]]),1,0)</f>
        <v>1</v>
      </c>
      <c r="W99" s="61">
        <f>IF(ISNUMBER(tblTasks[[#This Row],[期限日]]),INT(tblTasks[[#This Row],[期限日]]),99999)*100000+N(tblTasks[[#This Row],[ID番号]])</f>
        <v>9999900000</v>
      </c>
      <c r="X99" s="61">
        <f>IF(AND(OR(tblTasks[[#This Row],[表示区分]]="期限超過",tblTasks[[#This Row],[表示区分]]="本日"),tblTasks[[#This Row],[担当一致]]=1),1,0)</f>
        <v>0</v>
      </c>
      <c r="Y99" s="61" t="str">
        <f>IF(tblTasks[[#This Row],[一覧1対象]]=1,COUNTIFS(tblTasks[一覧1対象],1,tblTasks[並びキー],"&lt;"&amp;tblTasks[[#This Row],[並びキー]])+1,"")</f>
        <v/>
      </c>
      <c r="Z99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99" s="61" t="str">
        <f>IF(tblTasks[[#This Row],[一覧3対象]]=1,COUNTIFS(tblTasks[一覧3対象],1,tblTasks[並びキー],"&lt;"&amp;tblTasks[[#This Row],[並びキー]])+1,"")</f>
        <v/>
      </c>
      <c r="AB99" s="61">
        <f>IF(AND(tblTasks[[#This Row],[表示区分]]="今後",INT(N(tblTasks[[#This Row],[期限日]]))&lt;=RefDate+UpcomingDays,tblTasks[[#This Row],[担当一致]]=1),1,0)</f>
        <v>0</v>
      </c>
      <c r="AC99" s="61" t="str">
        <f>IF(tblTasks[[#This Row],[一覧4対象]]=1,COUNTIFS(tblTasks[一覧4対象],1,tblTasks[並びキー],"&lt;"&amp;tblTasks[[#This Row],[並びキー]])+1,"")</f>
        <v/>
      </c>
    </row>
    <row r="100">
      <c r="A100" s="49" t="n"/>
      <c r="B100" s="49" t="n"/>
      <c r="C100" s="50" t="str">
        <f>IF(tblTasks[[#This Row],[案件ID]]="","",IF(tblTasks[[#This Row],[案件行]]="","（未登録の案件ID）",INDEX(tblCases[顧客名],tblTasks[[#This Row],[案件行]])&amp;""))</f>
        <v/>
      </c>
      <c r="D100" s="50" t="str">
        <f>IF(tblTasks[[#This Row],[案件行]]="","",INDEX(tblCases[案件名],tblTasks[[#This Row],[案件行]])&amp;"")</f>
        <v/>
      </c>
      <c r="E100" s="52" t="n"/>
      <c r="F100" s="51" t="n"/>
      <c r="G100" s="65" t="n"/>
      <c r="H100" s="52" t="n"/>
      <c r="I100" s="52" t="n"/>
      <c r="J100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0" s="59" t="n"/>
      <c r="L100" s="51" t="n"/>
      <c r="M100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0" s="61" t="str">
        <f>IFERROR(VALUE(MID(tblTasks[[#This Row],[タスクID]],2,20)),"")</f>
        <v/>
      </c>
      <c r="O100" s="61" t="str">
        <f>tblTasks[[#This Row],[案件ID]]&amp;"|"&amp;tblTasks[[#This Row],[ID番号]]</f>
        <v>|</v>
      </c>
      <c r="P100" s="61" t="str">
        <f>IF(tblTasks[[#This Row],[案件ID]]="","",IFERROR(MATCH(tblTasks[[#This Row],[案件ID]],tblCases[案件ID],0),""))</f>
        <v/>
      </c>
      <c r="Q100" s="61">
        <f>IF(tblTasks[[#This Row],[案件行]]="",0,INDEX(tblCases[連絡停止],tblTasks[[#This Row],[案件行]]))</f>
        <v>0</v>
      </c>
      <c r="R100" s="61" t="str">
        <f>IF(tblTasks[[#This Row],[案件行]]="","",INDEX(tblCases[状態区分],tblTasks[[#This Row],[案件行]])&amp;"")</f>
        <v/>
      </c>
      <c r="S100" s="61">
        <f>IF(AND(tblTasks[[#This Row],[タスクID]]&lt;&gt;"",OR(tblTasks[[#This Row],[状態]]="未着手",tblTasks[[#This Row],[状態]]="対応中")),1,0)</f>
        <v>0</v>
      </c>
      <c r="T100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0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0" s="61">
        <f>IF(OR(HomeStaff="",HomeStaff="全員",HomeStaff=tblTasks[[#This Row],[担当者]]),1,0)</f>
        <v>1</v>
      </c>
      <c r="W100" s="61">
        <f>IF(ISNUMBER(tblTasks[[#This Row],[期限日]]),INT(tblTasks[[#This Row],[期限日]]),99999)*100000+N(tblTasks[[#This Row],[ID番号]])</f>
        <v>9999900000</v>
      </c>
      <c r="X100" s="61">
        <f>IF(AND(OR(tblTasks[[#This Row],[表示区分]]="期限超過",tblTasks[[#This Row],[表示区分]]="本日"),tblTasks[[#This Row],[担当一致]]=1),1,0)</f>
        <v>0</v>
      </c>
      <c r="Y100" s="61" t="str">
        <f>IF(tblTasks[[#This Row],[一覧1対象]]=1,COUNTIFS(tblTasks[一覧1対象],1,tblTasks[並びキー],"&lt;"&amp;tblTasks[[#This Row],[並びキー]])+1,"")</f>
        <v/>
      </c>
      <c r="Z100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0" s="61" t="str">
        <f>IF(tblTasks[[#This Row],[一覧3対象]]=1,COUNTIFS(tblTasks[一覧3対象],1,tblTasks[並びキー],"&lt;"&amp;tblTasks[[#This Row],[並びキー]])+1,"")</f>
        <v/>
      </c>
      <c r="AB100" s="61">
        <f>IF(AND(tblTasks[[#This Row],[表示区分]]="今後",INT(N(tblTasks[[#This Row],[期限日]]))&lt;=RefDate+UpcomingDays,tblTasks[[#This Row],[担当一致]]=1),1,0)</f>
        <v>0</v>
      </c>
      <c r="AC100" s="61" t="str">
        <f>IF(tblTasks[[#This Row],[一覧4対象]]=1,COUNTIFS(tblTasks[一覧4対象],1,tblTasks[並びキー],"&lt;"&amp;tblTasks[[#This Row],[並びキー]])+1,"")</f>
        <v/>
      </c>
    </row>
    <row r="101">
      <c r="A101" s="49" t="n"/>
      <c r="B101" s="49" t="n"/>
      <c r="C101" s="50" t="str">
        <f>IF(tblTasks[[#This Row],[案件ID]]="","",IF(tblTasks[[#This Row],[案件行]]="","（未登録の案件ID）",INDEX(tblCases[顧客名],tblTasks[[#This Row],[案件行]])&amp;""))</f>
        <v/>
      </c>
      <c r="D101" s="50" t="str">
        <f>IF(tblTasks[[#This Row],[案件行]]="","",INDEX(tblCases[案件名],tblTasks[[#This Row],[案件行]])&amp;"")</f>
        <v/>
      </c>
      <c r="E101" s="52" t="n"/>
      <c r="F101" s="51" t="n"/>
      <c r="G101" s="65" t="n"/>
      <c r="H101" s="52" t="n"/>
      <c r="I101" s="52" t="n"/>
      <c r="J101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1" s="59" t="n"/>
      <c r="L101" s="51" t="n"/>
      <c r="M101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1" s="61" t="str">
        <f>IFERROR(VALUE(MID(tblTasks[[#This Row],[タスクID]],2,20)),"")</f>
        <v/>
      </c>
      <c r="O101" s="61" t="str">
        <f>tblTasks[[#This Row],[案件ID]]&amp;"|"&amp;tblTasks[[#This Row],[ID番号]]</f>
        <v>|</v>
      </c>
      <c r="P101" s="61" t="str">
        <f>IF(tblTasks[[#This Row],[案件ID]]="","",IFERROR(MATCH(tblTasks[[#This Row],[案件ID]],tblCases[案件ID],0),""))</f>
        <v/>
      </c>
      <c r="Q101" s="61">
        <f>IF(tblTasks[[#This Row],[案件行]]="",0,INDEX(tblCases[連絡停止],tblTasks[[#This Row],[案件行]]))</f>
        <v>0</v>
      </c>
      <c r="R101" s="61" t="str">
        <f>IF(tblTasks[[#This Row],[案件行]]="","",INDEX(tblCases[状態区分],tblTasks[[#This Row],[案件行]])&amp;"")</f>
        <v/>
      </c>
      <c r="S101" s="61">
        <f>IF(AND(tblTasks[[#This Row],[タスクID]]&lt;&gt;"",OR(tblTasks[[#This Row],[状態]]="未着手",tblTasks[[#This Row],[状態]]="対応中")),1,0)</f>
        <v>0</v>
      </c>
      <c r="T101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1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1" s="61">
        <f>IF(OR(HomeStaff="",HomeStaff="全員",HomeStaff=tblTasks[[#This Row],[担当者]]),1,0)</f>
        <v>1</v>
      </c>
      <c r="W101" s="61">
        <f>IF(ISNUMBER(tblTasks[[#This Row],[期限日]]),INT(tblTasks[[#This Row],[期限日]]),99999)*100000+N(tblTasks[[#This Row],[ID番号]])</f>
        <v>9999900000</v>
      </c>
      <c r="X101" s="61">
        <f>IF(AND(OR(tblTasks[[#This Row],[表示区分]]="期限超過",tblTasks[[#This Row],[表示区分]]="本日"),tblTasks[[#This Row],[担当一致]]=1),1,0)</f>
        <v>0</v>
      </c>
      <c r="Y101" s="61" t="str">
        <f>IF(tblTasks[[#This Row],[一覧1対象]]=1,COUNTIFS(tblTasks[一覧1対象],1,tblTasks[並びキー],"&lt;"&amp;tblTasks[[#This Row],[並びキー]])+1,"")</f>
        <v/>
      </c>
      <c r="Z101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1" s="61" t="str">
        <f>IF(tblTasks[[#This Row],[一覧3対象]]=1,COUNTIFS(tblTasks[一覧3対象],1,tblTasks[並びキー],"&lt;"&amp;tblTasks[[#This Row],[並びキー]])+1,"")</f>
        <v/>
      </c>
      <c r="AB101" s="61">
        <f>IF(AND(tblTasks[[#This Row],[表示区分]]="今後",INT(N(tblTasks[[#This Row],[期限日]]))&lt;=RefDate+UpcomingDays,tblTasks[[#This Row],[担当一致]]=1),1,0)</f>
        <v>0</v>
      </c>
      <c r="AC101" s="61" t="str">
        <f>IF(tblTasks[[#This Row],[一覧4対象]]=1,COUNTIFS(tblTasks[一覧4対象],1,tblTasks[並びキー],"&lt;"&amp;tblTasks[[#This Row],[並びキー]])+1,"")</f>
        <v/>
      </c>
    </row>
    <row r="102">
      <c r="A102" s="49" t="n"/>
      <c r="B102" s="49" t="n"/>
      <c r="C102" s="50" t="str">
        <f>IF(tblTasks[[#This Row],[案件ID]]="","",IF(tblTasks[[#This Row],[案件行]]="","（未登録の案件ID）",INDEX(tblCases[顧客名],tblTasks[[#This Row],[案件行]])&amp;""))</f>
        <v/>
      </c>
      <c r="D102" s="50" t="str">
        <f>IF(tblTasks[[#This Row],[案件行]]="","",INDEX(tblCases[案件名],tblTasks[[#This Row],[案件行]])&amp;"")</f>
        <v/>
      </c>
      <c r="E102" s="52" t="n"/>
      <c r="F102" s="51" t="n"/>
      <c r="G102" s="65" t="n"/>
      <c r="H102" s="52" t="n"/>
      <c r="I102" s="52" t="n"/>
      <c r="J102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2" s="59" t="n"/>
      <c r="L102" s="51" t="n"/>
      <c r="M102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2" s="61" t="str">
        <f>IFERROR(VALUE(MID(tblTasks[[#This Row],[タスクID]],2,20)),"")</f>
        <v/>
      </c>
      <c r="O102" s="61" t="str">
        <f>tblTasks[[#This Row],[案件ID]]&amp;"|"&amp;tblTasks[[#This Row],[ID番号]]</f>
        <v>|</v>
      </c>
      <c r="P102" s="61" t="str">
        <f>IF(tblTasks[[#This Row],[案件ID]]="","",IFERROR(MATCH(tblTasks[[#This Row],[案件ID]],tblCases[案件ID],0),""))</f>
        <v/>
      </c>
      <c r="Q102" s="61">
        <f>IF(tblTasks[[#This Row],[案件行]]="",0,INDEX(tblCases[連絡停止],tblTasks[[#This Row],[案件行]]))</f>
        <v>0</v>
      </c>
      <c r="R102" s="61" t="str">
        <f>IF(tblTasks[[#This Row],[案件行]]="","",INDEX(tblCases[状態区分],tblTasks[[#This Row],[案件行]])&amp;"")</f>
        <v/>
      </c>
      <c r="S102" s="61">
        <f>IF(AND(tblTasks[[#This Row],[タスクID]]&lt;&gt;"",OR(tblTasks[[#This Row],[状態]]="未着手",tblTasks[[#This Row],[状態]]="対応中")),1,0)</f>
        <v>0</v>
      </c>
      <c r="T102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2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2" s="61">
        <f>IF(OR(HomeStaff="",HomeStaff="全員",HomeStaff=tblTasks[[#This Row],[担当者]]),1,0)</f>
        <v>1</v>
      </c>
      <c r="W102" s="61">
        <f>IF(ISNUMBER(tblTasks[[#This Row],[期限日]]),INT(tblTasks[[#This Row],[期限日]]),99999)*100000+N(tblTasks[[#This Row],[ID番号]])</f>
        <v>9999900000</v>
      </c>
      <c r="X102" s="61">
        <f>IF(AND(OR(tblTasks[[#This Row],[表示区分]]="期限超過",tblTasks[[#This Row],[表示区分]]="本日"),tblTasks[[#This Row],[担当一致]]=1),1,0)</f>
        <v>0</v>
      </c>
      <c r="Y102" s="61" t="str">
        <f>IF(tblTasks[[#This Row],[一覧1対象]]=1,COUNTIFS(tblTasks[一覧1対象],1,tblTasks[並びキー],"&lt;"&amp;tblTasks[[#This Row],[並びキー]])+1,"")</f>
        <v/>
      </c>
      <c r="Z102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2" s="61" t="str">
        <f>IF(tblTasks[[#This Row],[一覧3対象]]=1,COUNTIFS(tblTasks[一覧3対象],1,tblTasks[並びキー],"&lt;"&amp;tblTasks[[#This Row],[並びキー]])+1,"")</f>
        <v/>
      </c>
      <c r="AB102" s="61">
        <f>IF(AND(tblTasks[[#This Row],[表示区分]]="今後",INT(N(tblTasks[[#This Row],[期限日]]))&lt;=RefDate+UpcomingDays,tblTasks[[#This Row],[担当一致]]=1),1,0)</f>
        <v>0</v>
      </c>
      <c r="AC102" s="61" t="str">
        <f>IF(tblTasks[[#This Row],[一覧4対象]]=1,COUNTIFS(tblTasks[一覧4対象],1,tblTasks[並びキー],"&lt;"&amp;tblTasks[[#This Row],[並びキー]])+1,"")</f>
        <v/>
      </c>
    </row>
    <row r="103">
      <c r="A103" s="49" t="n"/>
      <c r="B103" s="49" t="n"/>
      <c r="C103" s="50" t="str">
        <f>IF(tblTasks[[#This Row],[案件ID]]="","",IF(tblTasks[[#This Row],[案件行]]="","（未登録の案件ID）",INDEX(tblCases[顧客名],tblTasks[[#This Row],[案件行]])&amp;""))</f>
        <v/>
      </c>
      <c r="D103" s="50" t="str">
        <f>IF(tblTasks[[#This Row],[案件行]]="","",INDEX(tblCases[案件名],tblTasks[[#This Row],[案件行]])&amp;"")</f>
        <v/>
      </c>
      <c r="E103" s="52" t="n"/>
      <c r="F103" s="51" t="n"/>
      <c r="G103" s="65" t="n"/>
      <c r="H103" s="52" t="n"/>
      <c r="I103" s="52" t="n"/>
      <c r="J103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3" s="59" t="n"/>
      <c r="L103" s="51" t="n"/>
      <c r="M103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3" s="61" t="str">
        <f>IFERROR(VALUE(MID(tblTasks[[#This Row],[タスクID]],2,20)),"")</f>
        <v/>
      </c>
      <c r="O103" s="61" t="str">
        <f>tblTasks[[#This Row],[案件ID]]&amp;"|"&amp;tblTasks[[#This Row],[ID番号]]</f>
        <v>|</v>
      </c>
      <c r="P103" s="61" t="str">
        <f>IF(tblTasks[[#This Row],[案件ID]]="","",IFERROR(MATCH(tblTasks[[#This Row],[案件ID]],tblCases[案件ID],0),""))</f>
        <v/>
      </c>
      <c r="Q103" s="61">
        <f>IF(tblTasks[[#This Row],[案件行]]="",0,INDEX(tblCases[連絡停止],tblTasks[[#This Row],[案件行]]))</f>
        <v>0</v>
      </c>
      <c r="R103" s="61" t="str">
        <f>IF(tblTasks[[#This Row],[案件行]]="","",INDEX(tblCases[状態区分],tblTasks[[#This Row],[案件行]])&amp;"")</f>
        <v/>
      </c>
      <c r="S103" s="61">
        <f>IF(AND(tblTasks[[#This Row],[タスクID]]&lt;&gt;"",OR(tblTasks[[#This Row],[状態]]="未着手",tblTasks[[#This Row],[状態]]="対応中")),1,0)</f>
        <v>0</v>
      </c>
      <c r="T103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3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3" s="61">
        <f>IF(OR(HomeStaff="",HomeStaff="全員",HomeStaff=tblTasks[[#This Row],[担当者]]),1,0)</f>
        <v>1</v>
      </c>
      <c r="W103" s="61">
        <f>IF(ISNUMBER(tblTasks[[#This Row],[期限日]]),INT(tblTasks[[#This Row],[期限日]]),99999)*100000+N(tblTasks[[#This Row],[ID番号]])</f>
        <v>9999900000</v>
      </c>
      <c r="X103" s="61">
        <f>IF(AND(OR(tblTasks[[#This Row],[表示区分]]="期限超過",tblTasks[[#This Row],[表示区分]]="本日"),tblTasks[[#This Row],[担当一致]]=1),1,0)</f>
        <v>0</v>
      </c>
      <c r="Y103" s="61" t="str">
        <f>IF(tblTasks[[#This Row],[一覧1対象]]=1,COUNTIFS(tblTasks[一覧1対象],1,tblTasks[並びキー],"&lt;"&amp;tblTasks[[#This Row],[並びキー]])+1,"")</f>
        <v/>
      </c>
      <c r="Z103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3" s="61" t="str">
        <f>IF(tblTasks[[#This Row],[一覧3対象]]=1,COUNTIFS(tblTasks[一覧3対象],1,tblTasks[並びキー],"&lt;"&amp;tblTasks[[#This Row],[並びキー]])+1,"")</f>
        <v/>
      </c>
      <c r="AB103" s="61">
        <f>IF(AND(tblTasks[[#This Row],[表示区分]]="今後",INT(N(tblTasks[[#This Row],[期限日]]))&lt;=RefDate+UpcomingDays,tblTasks[[#This Row],[担当一致]]=1),1,0)</f>
        <v>0</v>
      </c>
      <c r="AC103" s="61" t="str">
        <f>IF(tblTasks[[#This Row],[一覧4対象]]=1,COUNTIFS(tblTasks[一覧4対象],1,tblTasks[並びキー],"&lt;"&amp;tblTasks[[#This Row],[並びキー]])+1,"")</f>
        <v/>
      </c>
    </row>
    <row r="104">
      <c r="A104" s="49" t="n"/>
      <c r="B104" s="49" t="n"/>
      <c r="C104" s="50" t="str">
        <f>IF(tblTasks[[#This Row],[案件ID]]="","",IF(tblTasks[[#This Row],[案件行]]="","（未登録の案件ID）",INDEX(tblCases[顧客名],tblTasks[[#This Row],[案件行]])&amp;""))</f>
        <v/>
      </c>
      <c r="D104" s="50" t="str">
        <f>IF(tblTasks[[#This Row],[案件行]]="","",INDEX(tblCases[案件名],tblTasks[[#This Row],[案件行]])&amp;"")</f>
        <v/>
      </c>
      <c r="E104" s="52" t="n"/>
      <c r="F104" s="51" t="n"/>
      <c r="G104" s="65" t="n"/>
      <c r="H104" s="52" t="n"/>
      <c r="I104" s="52" t="n"/>
      <c r="J104" s="55" t="str">
        <f>IF(AND(tblTasks[[#This Row],[タスクID]]="",tblTasks[[#This Row],[案件ID]]="",tblTasks[[#This Row],[内容]]=""),"",IF(tblTasks[[#This Row],[状態]]="完了","完了",IF(tblTasks[[#This Row],[状態]]="取消","取消",IF(tblTasks[[#This Row],[重大エラー]]=1,"入力要確認",IF(tblTasks[[#This Row],[案件状態区分]]="終了","終了案件",IF(AND(tblTasks[[#This Row],[区分]]="顧客への連絡",tblTasks[[#This Row],[連絡停止]]=1),"連絡停止中",IF(tblTasks[[#This Row],[期限日]]="","期限未設定",IF(INT(tblTasks[[#This Row],[期限日]])&lt;RefDate,"期限超過",IF(INT(tblTasks[[#This Row],[期限日]])=RefDate,"本日","今後")))))))))</f>
        <v/>
      </c>
      <c r="K104" s="59" t="n"/>
      <c r="L104" s="51" t="n"/>
      <c r="M104" s="50" t="str">
        <f>IF(AND(tblTasks[[#This Row],[タスクID]]="",tblTasks[[#This Row],[案件ID]]="",tblTasks[[#This Row],[内容]]=""),"",_xlfn.TEXTJOIN("／",TRUE,IF(tblTasks[[#This Row],[タスクID]]="","タスクIDが空欄",IF(tblTasks[[#This Row],[ID番号]]="","タスクIDの形式（英字1字＋数字）","")),IF(AND(tblTasks[[#This Row],[タスクID]]&lt;&gt;"",COUNTIF(tblTasks[タスクID],tblTasks[[#This Row],[タスクID]])&gt;1),"タスクIDが重複",""),IF(tblTasks[[#This Row],[案件ID]]="","案件IDが空欄",IF(tblTasks[[#This Row],[案件行]]="","未登録の案件ID","")),IF(tblTasks[[#This Row],[区分]]="","区分が空欄",IF(COUNTIF(lst_TaskType,tblTasks[[#This Row],[区分]])=0,"区分が候補外","")),IF(tblTasks[[#This Row],[内容]]="","内容が空欄",""),IF(tblTasks[[#This Row],[担当者]]="","担当者が空欄",""),IF(tblTasks[[#This Row],[状態]]="","状態が空欄",IF(COUNTIF(lst_TaskStatus,tblTasks[[#This Row],[状態]])=0,"状態が候補外","")),IF(AND(tblTasks[[#This Row],[期限日]]&lt;&gt;"",NOT(ISNUMBER(tblTasks[[#This Row],[期限日]]))),"期限日が日付ではない",""),IF(AND(tblTasks[[#This Row],[状態]]="完了",tblTasks[[#This Row],[完了日]]=""),"完了日が未入力",""),IF(AND(tblTasks[[#This Row],[完了日]]&lt;&gt;"",tblTasks[[#This Row],[状態]]&lt;&gt;"完了"),"完了日ありだが未完了","")))</f>
        <v/>
      </c>
      <c r="N104" s="61" t="str">
        <f>IFERROR(VALUE(MID(tblTasks[[#This Row],[タスクID]],2,20)),"")</f>
        <v/>
      </c>
      <c r="O104" s="61" t="str">
        <f>tblTasks[[#This Row],[案件ID]]&amp;"|"&amp;tblTasks[[#This Row],[ID番号]]</f>
        <v>|</v>
      </c>
      <c r="P104" s="61" t="str">
        <f>IF(tblTasks[[#This Row],[案件ID]]="","",IFERROR(MATCH(tblTasks[[#This Row],[案件ID]],tblCases[案件ID],0),""))</f>
        <v/>
      </c>
      <c r="Q104" s="61">
        <f>IF(tblTasks[[#This Row],[案件行]]="",0,INDEX(tblCases[連絡停止],tblTasks[[#This Row],[案件行]]))</f>
        <v>0</v>
      </c>
      <c r="R104" s="61" t="str">
        <f>IF(tblTasks[[#This Row],[案件行]]="","",INDEX(tblCases[状態区分],tblTasks[[#This Row],[案件行]])&amp;"")</f>
        <v/>
      </c>
      <c r="S104" s="61">
        <f>IF(AND(tblTasks[[#This Row],[タスクID]]&lt;&gt;"",OR(tblTasks[[#This Row],[状態]]="未着手",tblTasks[[#This Row],[状態]]="対応中")),1,0)</f>
        <v>0</v>
      </c>
      <c r="T104" s="61">
        <f>IF(OR(tblTasks[[#This Row],[タスクID]]="",tblTasks[[#This Row],[案件行]]="",AND(tblTasks[[#This Row],[状態]]&lt;&gt;"未着手",tblTasks[[#This Row],[状態]]&lt;&gt;"対応中",tblTasks[[#This Row],[状態]]&lt;&gt;"完了",tblTasks[[#This Row],[状態]]&lt;&gt;"取消"),AND(tblTasks[[#This Row],[期限日]]&lt;&gt;"",NOT(ISNUMBER(tblTasks[[#This Row],[期限日]])))),1,0)</f>
        <v>1</v>
      </c>
      <c r="U104" s="61">
        <f>IF(AND(tblTasks[[#This Row],[未完了]]=1,tblTasks[[#This Row],[重大エラー]]=0,ISNUMBER(tblTasks[[#This Row],[期限日]]),NOT(AND(tblTasks[[#This Row],[区分]]="顧客への連絡",tblTasks[[#This Row],[連絡停止]]=1))),1,0)</f>
        <v>0</v>
      </c>
      <c r="V104" s="61">
        <f>IF(OR(HomeStaff="",HomeStaff="全員",HomeStaff=tblTasks[[#This Row],[担当者]]),1,0)</f>
        <v>1</v>
      </c>
      <c r="W104" s="61">
        <f>IF(ISNUMBER(tblTasks[[#This Row],[期限日]]),INT(tblTasks[[#This Row],[期限日]]),99999)*100000+N(tblTasks[[#This Row],[ID番号]])</f>
        <v>9999900000</v>
      </c>
      <c r="X104" s="61">
        <f>IF(AND(OR(tblTasks[[#This Row],[表示区分]]="期限超過",tblTasks[[#This Row],[表示区分]]="本日"),tblTasks[[#This Row],[担当一致]]=1),1,0)</f>
        <v>0</v>
      </c>
      <c r="Y104" s="61" t="str">
        <f>IF(tblTasks[[#This Row],[一覧1対象]]=1,COUNTIFS(tblTasks[一覧1対象],1,tblTasks[並びキー],"&lt;"&amp;tblTasks[[#This Row],[並びキー]])+1,"")</f>
        <v/>
      </c>
      <c r="Z104" s="61">
        <f>IF(AND(OR(tblTasks[[#This Row],[表示区分]]="期限未設定",tblTasks[[#This Row],[表示区分]]="連絡停止中",tblTasks[[#This Row],[表示区分]]="終了案件",tblTasks[[#This Row],[表示区分]]="入力要確認"),tblTasks[[#This Row],[担当一致]]=1),1,0)</f>
        <v>0</v>
      </c>
      <c r="AA104" s="61" t="str">
        <f>IF(tblTasks[[#This Row],[一覧3対象]]=1,COUNTIFS(tblTasks[一覧3対象],1,tblTasks[並びキー],"&lt;"&amp;tblTasks[[#This Row],[並びキー]])+1,"")</f>
        <v/>
      </c>
      <c r="AB104" s="61">
        <f>IF(AND(tblTasks[[#This Row],[表示区分]]="今後",INT(N(tblTasks[[#This Row],[期限日]]))&lt;=RefDate+UpcomingDays,tblTasks[[#This Row],[担当一致]]=1),1,0)</f>
        <v>0</v>
      </c>
      <c r="AC104" s="61" t="str">
        <f>IF(tblTasks[[#This Row],[一覧4対象]]=1,COUNTIFS(tblTasks[一覧4対象],1,tblTasks[並びキー],"&lt;"&amp;tblTasks[[#This Row],[並びキー]])+1,"")</f>
        <v/>
      </c>
    </row>
  </sheetData>
  <conditionalFormatting sqref="M6:M2000">
    <cfRule type="expression" priority="1" dxfId="2" stopIfTrue="1">
      <formula>$M6&lt;&gt;""</formula>
    </cfRule>
  </conditionalFormatting>
  <conditionalFormatting sqref="J6:J2000">
    <cfRule type="expression" priority="2" dxfId="3" stopIfTrue="1">
      <formula>$J6="期限超過"</formula>
    </cfRule>
    <cfRule type="expression" priority="3" dxfId="4" stopIfTrue="1">
      <formula>$J6="本日"</formula>
    </cfRule>
    <cfRule type="expression" priority="4" dxfId="2" stopIfTrue="1">
      <formula>OR($J6="期限未設定",$J6="入力要確認",$J6="連絡停止中",$J6="終了案件")</formula>
    </cfRule>
  </conditionalFormatting>
  <conditionalFormatting sqref="A6:L2000">
    <cfRule type="expression" priority="5" dxfId="5" stopIfTrue="0">
      <formula>OR($J6="完了",$J6="取消")</formula>
    </cfRule>
  </conditionalFormatting>
  <dataValidations count="7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=dv_CaseID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=dv_TaskType</formula1>
    </dataValidation>
    <dataValidation sqref="G6:G2000" showDropDown="0" showInputMessage="1" showErrorMessage="1" allowBlank="1" errorTitle="日付を入力" error="日付（例 2026/10/05）を入力してください。" promptTitle="入力方法" prompt="この対応をいつまでに行うか。未定の場合も仮の期限を入れることを推奨します。" type="date" errorStyle="stop" operator="between">
      <formula1>36526</formula1>
      <formula2>73051</formula2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=dv_TaskStatus</formula1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3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6" customWidth="1" min="3" max="3"/>
    <col width="26" customWidth="1" min="4" max="4"/>
    <col width="14" customWidth="1" min="5" max="5"/>
    <col width="24" customWidth="1" min="6" max="6"/>
    <col width="11" customWidth="1" min="7" max="7"/>
    <col width="13" customWidth="1" min="8" max="8"/>
    <col width="10" customWidth="1" min="9" max="9"/>
    <col width="8" customWidth="1" min="10" max="10"/>
    <col width="11" customWidth="1" min="11" max="11"/>
    <col width="22" customWidth="1" min="12" max="12"/>
    <col width="22" customWidth="1" min="13" max="13"/>
    <col width="7" customWidth="1" min="14" max="14"/>
    <col width="8" customWidth="1" min="15" max="15"/>
    <col width="26" customWidth="1" min="16" max="16"/>
    <col width="7" customWidth="1" min="17" max="17"/>
  </cols>
  <sheetData>
    <row r="1" ht="30" customHeight="1">
      <c r="A1" s="1" t="inlineStr">
        <is>
          <t>顧客マスター（1行＝1社）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6" t="inlineStr">
        <is>
          <t>← ホームへ</t>
        </is>
      </c>
    </row>
    <row r="2" ht="20" customHeight="1">
      <c r="A2" s="4" t="inlineStr">
        <is>
          <t>会社の住所・連絡先・連絡可否の正本です。案件は 02_案件一覧 に分けて登録します。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次の顧客ID候補</t>
        </is>
      </c>
      <c r="I3" s="44" t="str">
        <f>"C"&amp;TEXT(MAX(0,MAX(tblCustomers[ID番号]))+1,"000")</f>
        <v>C001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顧客ID</t>
        </is>
      </c>
      <c r="B5" s="46" t="inlineStr">
        <is>
          <t>会社名</t>
        </is>
      </c>
      <c r="C5" s="46" t="inlineStr">
        <is>
          <t>業種</t>
        </is>
      </c>
      <c r="D5" s="46" t="inlineStr">
        <is>
          <t>所在地</t>
        </is>
      </c>
      <c r="E5" s="46" t="inlineStr">
        <is>
          <t>代表電話</t>
        </is>
      </c>
      <c r="F5" s="46" t="inlineStr">
        <is>
          <t>代表メール</t>
        </is>
      </c>
      <c r="G5" s="46" t="inlineStr">
        <is>
          <t>顧客側主担当ID</t>
        </is>
      </c>
      <c r="H5" s="47" t="inlineStr">
        <is>
          <t>顧客側主担当</t>
        </is>
      </c>
      <c r="I5" s="46" t="inlineStr">
        <is>
          <t>社内主担当</t>
        </is>
      </c>
      <c r="J5" s="46" t="inlineStr">
        <is>
          <t>連絡可否</t>
        </is>
      </c>
      <c r="K5" s="46" t="inlineStr">
        <is>
          <t>連絡停止日</t>
        </is>
      </c>
      <c r="L5" s="46" t="inlineStr">
        <is>
          <t>連絡停止理由</t>
        </is>
      </c>
      <c r="M5" s="46" t="inlineStr">
        <is>
          <t>補足</t>
        </is>
      </c>
      <c r="N5" s="47" t="inlineStr">
        <is>
          <t>案件数</t>
        </is>
      </c>
      <c r="O5" s="47" t="inlineStr">
        <is>
          <t>進行中の案件</t>
        </is>
      </c>
      <c r="P5" s="47" t="inlineStr">
        <is>
          <t>入力チェック</t>
        </is>
      </c>
      <c r="Q5" s="48" t="inlineStr">
        <is>
          <t>ID番号</t>
        </is>
      </c>
    </row>
    <row r="6">
      <c r="A6" s="49" t="n"/>
      <c r="B6" s="51" t="n"/>
      <c r="C6" s="51" t="n"/>
      <c r="D6" s="51" t="n"/>
      <c r="E6" s="49" t="n"/>
      <c r="F6" s="52" t="n"/>
      <c r="G6" s="49" t="n"/>
      <c r="H6" s="57" t="str">
        <f>IF(tblCustomers[[#This Row],[顧客側主担当ID]]="","",IFERROR(INDEX(tblContacts[氏名],MATCH(tblCustomers[[#This Row],[顧客側主担当ID]],tblContacts[担当者ID],0))&amp;"","（未登録のID）"))</f>
        <v/>
      </c>
      <c r="I6" s="52" t="n"/>
      <c r="J6" s="58" t="n"/>
      <c r="K6" s="59" t="n"/>
      <c r="L6" s="51" t="n"/>
      <c r="M6" s="51" t="n"/>
      <c r="N6" s="55" t="str">
        <f>IF(tblCustomers[[#This Row],[顧客ID]]="","",COUNTIFS(tblCases[顧客ID],tblCustomers[[#This Row],[顧客ID]]))</f>
        <v/>
      </c>
      <c r="O6" s="55" t="str">
        <f>IF(tblCustomers[[#This Row],[顧客ID]]="","",COUNTIFS(tblCases[顧客ID],tblCustomers[[#This Row],[顧客ID]],tblCases[進行中],1))</f>
        <v/>
      </c>
      <c r="P6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6" s="61" t="str">
        <f>IFERROR(VALUE(MID(tblCustomers[[#This Row],[顧客ID]],2,20)),"")</f>
        <v/>
      </c>
    </row>
    <row r="7">
      <c r="A7" s="49" t="n"/>
      <c r="B7" s="51" t="n"/>
      <c r="C7" s="51" t="n"/>
      <c r="D7" s="51" t="n"/>
      <c r="E7" s="49" t="n"/>
      <c r="F7" s="52" t="n"/>
      <c r="G7" s="49" t="n"/>
      <c r="H7" s="57" t="str">
        <f>IF(tblCustomers[[#This Row],[顧客側主担当ID]]="","",IFERROR(INDEX(tblContacts[氏名],MATCH(tblCustomers[[#This Row],[顧客側主担当ID]],tblContacts[担当者ID],0))&amp;"","（未登録のID）"))</f>
        <v/>
      </c>
      <c r="I7" s="52" t="n"/>
      <c r="J7" s="58" t="n"/>
      <c r="K7" s="59" t="n"/>
      <c r="L7" s="51" t="n"/>
      <c r="M7" s="51" t="n"/>
      <c r="N7" s="55" t="str">
        <f>IF(tblCustomers[[#This Row],[顧客ID]]="","",COUNTIFS(tblCases[顧客ID],tblCustomers[[#This Row],[顧客ID]]))</f>
        <v/>
      </c>
      <c r="O7" s="55" t="str">
        <f>IF(tblCustomers[[#This Row],[顧客ID]]="","",COUNTIFS(tblCases[顧客ID],tblCustomers[[#This Row],[顧客ID]],tblCases[進行中],1))</f>
        <v/>
      </c>
      <c r="P7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7" s="61" t="str">
        <f>IFERROR(VALUE(MID(tblCustomers[[#This Row],[顧客ID]],2,20)),"")</f>
        <v/>
      </c>
    </row>
    <row r="8">
      <c r="A8" s="49" t="n"/>
      <c r="B8" s="51" t="n"/>
      <c r="C8" s="51" t="n"/>
      <c r="D8" s="51" t="n"/>
      <c r="E8" s="49" t="n"/>
      <c r="F8" s="52" t="n"/>
      <c r="G8" s="49" t="n"/>
      <c r="H8" s="57" t="str">
        <f>IF(tblCustomers[[#This Row],[顧客側主担当ID]]="","",IFERROR(INDEX(tblContacts[氏名],MATCH(tblCustomers[[#This Row],[顧客側主担当ID]],tblContacts[担当者ID],0))&amp;"","（未登録のID）"))</f>
        <v/>
      </c>
      <c r="I8" s="52" t="n"/>
      <c r="J8" s="58" t="n"/>
      <c r="K8" s="59" t="n"/>
      <c r="L8" s="51" t="n"/>
      <c r="M8" s="51" t="n"/>
      <c r="N8" s="55" t="str">
        <f>IF(tblCustomers[[#This Row],[顧客ID]]="","",COUNTIFS(tblCases[顧客ID],tblCustomers[[#This Row],[顧客ID]]))</f>
        <v/>
      </c>
      <c r="O8" s="55" t="str">
        <f>IF(tblCustomers[[#This Row],[顧客ID]]="","",COUNTIFS(tblCases[顧客ID],tblCustomers[[#This Row],[顧客ID]],tblCases[進行中],1))</f>
        <v/>
      </c>
      <c r="P8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8" s="61" t="str">
        <f>IFERROR(VALUE(MID(tblCustomers[[#This Row],[顧客ID]],2,20)),"")</f>
        <v/>
      </c>
    </row>
    <row r="9">
      <c r="A9" s="49" t="n"/>
      <c r="B9" s="51" t="n"/>
      <c r="C9" s="51" t="n"/>
      <c r="D9" s="51" t="n"/>
      <c r="E9" s="49" t="n"/>
      <c r="F9" s="52" t="n"/>
      <c r="G9" s="49" t="n"/>
      <c r="H9" s="57" t="str">
        <f>IF(tblCustomers[[#This Row],[顧客側主担当ID]]="","",IFERROR(INDEX(tblContacts[氏名],MATCH(tblCustomers[[#This Row],[顧客側主担当ID]],tblContacts[担当者ID],0))&amp;"","（未登録のID）"))</f>
        <v/>
      </c>
      <c r="I9" s="52" t="n"/>
      <c r="J9" s="58" t="n"/>
      <c r="K9" s="59" t="n"/>
      <c r="L9" s="51" t="n"/>
      <c r="M9" s="51" t="n"/>
      <c r="N9" s="55" t="str">
        <f>IF(tblCustomers[[#This Row],[顧客ID]]="","",COUNTIFS(tblCases[顧客ID],tblCustomers[[#This Row],[顧客ID]]))</f>
        <v/>
      </c>
      <c r="O9" s="55" t="str">
        <f>IF(tblCustomers[[#This Row],[顧客ID]]="","",COUNTIFS(tblCases[顧客ID],tblCustomers[[#This Row],[顧客ID]],tblCases[進行中],1))</f>
        <v/>
      </c>
      <c r="P9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9" s="61" t="str">
        <f>IFERROR(VALUE(MID(tblCustomers[[#This Row],[顧客ID]],2,20)),"")</f>
        <v/>
      </c>
    </row>
    <row r="10">
      <c r="A10" s="49" t="n"/>
      <c r="B10" s="51" t="n"/>
      <c r="C10" s="51" t="n"/>
      <c r="D10" s="51" t="n"/>
      <c r="E10" s="49" t="n"/>
      <c r="F10" s="52" t="n"/>
      <c r="G10" s="49" t="n"/>
      <c r="H10" s="57" t="str">
        <f>IF(tblCustomers[[#This Row],[顧客側主担当ID]]="","",IFERROR(INDEX(tblContacts[氏名],MATCH(tblCustomers[[#This Row],[顧客側主担当ID]],tblContacts[担当者ID],0))&amp;"","（未登録のID）"))</f>
        <v/>
      </c>
      <c r="I10" s="52" t="n"/>
      <c r="J10" s="58" t="n"/>
      <c r="K10" s="59" t="n"/>
      <c r="L10" s="51" t="n"/>
      <c r="M10" s="51" t="n"/>
      <c r="N10" s="55" t="str">
        <f>IF(tblCustomers[[#This Row],[顧客ID]]="","",COUNTIFS(tblCases[顧客ID],tblCustomers[[#This Row],[顧客ID]]))</f>
        <v/>
      </c>
      <c r="O10" s="55" t="str">
        <f>IF(tblCustomers[[#This Row],[顧客ID]]="","",COUNTIFS(tblCases[顧客ID],tblCustomers[[#This Row],[顧客ID]],tblCases[進行中],1))</f>
        <v/>
      </c>
      <c r="P10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0" s="61" t="str">
        <f>IFERROR(VALUE(MID(tblCustomers[[#This Row],[顧客ID]],2,20)),"")</f>
        <v/>
      </c>
    </row>
    <row r="11">
      <c r="A11" s="49" t="n"/>
      <c r="B11" s="51" t="n"/>
      <c r="C11" s="51" t="n"/>
      <c r="D11" s="51" t="n"/>
      <c r="E11" s="49" t="n"/>
      <c r="F11" s="52" t="n"/>
      <c r="G11" s="49" t="n"/>
      <c r="H11" s="57" t="str">
        <f>IF(tblCustomers[[#This Row],[顧客側主担当ID]]="","",IFERROR(INDEX(tblContacts[氏名],MATCH(tblCustomers[[#This Row],[顧客側主担当ID]],tblContacts[担当者ID],0))&amp;"","（未登録のID）"))</f>
        <v/>
      </c>
      <c r="I11" s="52" t="n"/>
      <c r="J11" s="58" t="n"/>
      <c r="K11" s="59" t="n"/>
      <c r="L11" s="51" t="n"/>
      <c r="M11" s="51" t="n"/>
      <c r="N11" s="55" t="str">
        <f>IF(tblCustomers[[#This Row],[顧客ID]]="","",COUNTIFS(tblCases[顧客ID],tblCustomers[[#This Row],[顧客ID]]))</f>
        <v/>
      </c>
      <c r="O11" s="55" t="str">
        <f>IF(tblCustomers[[#This Row],[顧客ID]]="","",COUNTIFS(tblCases[顧客ID],tblCustomers[[#This Row],[顧客ID]],tblCases[進行中],1))</f>
        <v/>
      </c>
      <c r="P11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1" s="61" t="str">
        <f>IFERROR(VALUE(MID(tblCustomers[[#This Row],[顧客ID]],2,20)),"")</f>
        <v/>
      </c>
    </row>
    <row r="12">
      <c r="A12" s="49" t="n"/>
      <c r="B12" s="51" t="n"/>
      <c r="C12" s="51" t="n"/>
      <c r="D12" s="51" t="n"/>
      <c r="E12" s="49" t="n"/>
      <c r="F12" s="52" t="n"/>
      <c r="G12" s="49" t="n"/>
      <c r="H12" s="57" t="str">
        <f>IF(tblCustomers[[#This Row],[顧客側主担当ID]]="","",IFERROR(INDEX(tblContacts[氏名],MATCH(tblCustomers[[#This Row],[顧客側主担当ID]],tblContacts[担当者ID],0))&amp;"","（未登録のID）"))</f>
        <v/>
      </c>
      <c r="I12" s="52" t="n"/>
      <c r="J12" s="58" t="n"/>
      <c r="K12" s="59" t="n"/>
      <c r="L12" s="51" t="n"/>
      <c r="M12" s="51" t="n"/>
      <c r="N12" s="55" t="str">
        <f>IF(tblCustomers[[#This Row],[顧客ID]]="","",COUNTIFS(tblCases[顧客ID],tblCustomers[[#This Row],[顧客ID]]))</f>
        <v/>
      </c>
      <c r="O12" s="55" t="str">
        <f>IF(tblCustomers[[#This Row],[顧客ID]]="","",COUNTIFS(tblCases[顧客ID],tblCustomers[[#This Row],[顧客ID]],tblCases[進行中],1))</f>
        <v/>
      </c>
      <c r="P12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2" s="61" t="str">
        <f>IFERROR(VALUE(MID(tblCustomers[[#This Row],[顧客ID]],2,20)),"")</f>
        <v/>
      </c>
    </row>
    <row r="13">
      <c r="A13" s="49" t="n"/>
      <c r="B13" s="51" t="n"/>
      <c r="C13" s="51" t="n"/>
      <c r="D13" s="51" t="n"/>
      <c r="E13" s="49" t="n"/>
      <c r="F13" s="52" t="n"/>
      <c r="G13" s="49" t="n"/>
      <c r="H13" s="57" t="str">
        <f>IF(tblCustomers[[#This Row],[顧客側主担当ID]]="","",IFERROR(INDEX(tblContacts[氏名],MATCH(tblCustomers[[#This Row],[顧客側主担当ID]],tblContacts[担当者ID],0))&amp;"","（未登録のID）"))</f>
        <v/>
      </c>
      <c r="I13" s="52" t="n"/>
      <c r="J13" s="58" t="n"/>
      <c r="K13" s="59" t="n"/>
      <c r="L13" s="51" t="n"/>
      <c r="M13" s="51" t="n"/>
      <c r="N13" s="55" t="str">
        <f>IF(tblCustomers[[#This Row],[顧客ID]]="","",COUNTIFS(tblCases[顧客ID],tblCustomers[[#This Row],[顧客ID]]))</f>
        <v/>
      </c>
      <c r="O13" s="55" t="str">
        <f>IF(tblCustomers[[#This Row],[顧客ID]]="","",COUNTIFS(tblCases[顧客ID],tblCustomers[[#This Row],[顧客ID]],tblCases[進行中],1))</f>
        <v/>
      </c>
      <c r="P13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3" s="61" t="str">
        <f>IFERROR(VALUE(MID(tblCustomers[[#This Row],[顧客ID]],2,20)),"")</f>
        <v/>
      </c>
    </row>
    <row r="14">
      <c r="A14" s="49" t="n"/>
      <c r="B14" s="51" t="n"/>
      <c r="C14" s="51" t="n"/>
      <c r="D14" s="51" t="n"/>
      <c r="E14" s="49" t="n"/>
      <c r="F14" s="52" t="n"/>
      <c r="G14" s="49" t="n"/>
      <c r="H14" s="57" t="str">
        <f>IF(tblCustomers[[#This Row],[顧客側主担当ID]]="","",IFERROR(INDEX(tblContacts[氏名],MATCH(tblCustomers[[#This Row],[顧客側主担当ID]],tblContacts[担当者ID],0))&amp;"","（未登録のID）"))</f>
        <v/>
      </c>
      <c r="I14" s="52" t="n"/>
      <c r="J14" s="58" t="n"/>
      <c r="K14" s="59" t="n"/>
      <c r="L14" s="51" t="n"/>
      <c r="M14" s="51" t="n"/>
      <c r="N14" s="55" t="str">
        <f>IF(tblCustomers[[#This Row],[顧客ID]]="","",COUNTIFS(tblCases[顧客ID],tblCustomers[[#This Row],[顧客ID]]))</f>
        <v/>
      </c>
      <c r="O14" s="55" t="str">
        <f>IF(tblCustomers[[#This Row],[顧客ID]]="","",COUNTIFS(tblCases[顧客ID],tblCustomers[[#This Row],[顧客ID]],tblCases[進行中],1))</f>
        <v/>
      </c>
      <c r="P14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4" s="61" t="str">
        <f>IFERROR(VALUE(MID(tblCustomers[[#This Row],[顧客ID]],2,20)),"")</f>
        <v/>
      </c>
    </row>
    <row r="15">
      <c r="A15" s="49" t="n"/>
      <c r="B15" s="51" t="n"/>
      <c r="C15" s="51" t="n"/>
      <c r="D15" s="51" t="n"/>
      <c r="E15" s="49" t="n"/>
      <c r="F15" s="52" t="n"/>
      <c r="G15" s="49" t="n"/>
      <c r="H15" s="57" t="str">
        <f>IF(tblCustomers[[#This Row],[顧客側主担当ID]]="","",IFERROR(INDEX(tblContacts[氏名],MATCH(tblCustomers[[#This Row],[顧客側主担当ID]],tblContacts[担当者ID],0))&amp;"","（未登録のID）"))</f>
        <v/>
      </c>
      <c r="I15" s="52" t="n"/>
      <c r="J15" s="58" t="n"/>
      <c r="K15" s="59" t="n"/>
      <c r="L15" s="51" t="n"/>
      <c r="M15" s="51" t="n"/>
      <c r="N15" s="55" t="str">
        <f>IF(tblCustomers[[#This Row],[顧客ID]]="","",COUNTIFS(tblCases[顧客ID],tblCustomers[[#This Row],[顧客ID]]))</f>
        <v/>
      </c>
      <c r="O15" s="55" t="str">
        <f>IF(tblCustomers[[#This Row],[顧客ID]]="","",COUNTIFS(tblCases[顧客ID],tblCustomers[[#This Row],[顧客ID]],tblCases[進行中],1))</f>
        <v/>
      </c>
      <c r="P15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5" s="61" t="str">
        <f>IFERROR(VALUE(MID(tblCustomers[[#This Row],[顧客ID]],2,20)),"")</f>
        <v/>
      </c>
    </row>
    <row r="16">
      <c r="A16" s="49" t="n"/>
      <c r="B16" s="51" t="n"/>
      <c r="C16" s="51" t="n"/>
      <c r="D16" s="51" t="n"/>
      <c r="E16" s="49" t="n"/>
      <c r="F16" s="52" t="n"/>
      <c r="G16" s="49" t="n"/>
      <c r="H16" s="57" t="str">
        <f>IF(tblCustomers[[#This Row],[顧客側主担当ID]]="","",IFERROR(INDEX(tblContacts[氏名],MATCH(tblCustomers[[#This Row],[顧客側主担当ID]],tblContacts[担当者ID],0))&amp;"","（未登録のID）"))</f>
        <v/>
      </c>
      <c r="I16" s="52" t="n"/>
      <c r="J16" s="58" t="n"/>
      <c r="K16" s="59" t="n"/>
      <c r="L16" s="51" t="n"/>
      <c r="M16" s="51" t="n"/>
      <c r="N16" s="55" t="str">
        <f>IF(tblCustomers[[#This Row],[顧客ID]]="","",COUNTIFS(tblCases[顧客ID],tblCustomers[[#This Row],[顧客ID]]))</f>
        <v/>
      </c>
      <c r="O16" s="55" t="str">
        <f>IF(tblCustomers[[#This Row],[顧客ID]]="","",COUNTIFS(tblCases[顧客ID],tblCustomers[[#This Row],[顧客ID]],tblCases[進行中],1))</f>
        <v/>
      </c>
      <c r="P16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6" s="61" t="str">
        <f>IFERROR(VALUE(MID(tblCustomers[[#This Row],[顧客ID]],2,20)),"")</f>
        <v/>
      </c>
    </row>
    <row r="17">
      <c r="A17" s="49" t="n"/>
      <c r="B17" s="51" t="n"/>
      <c r="C17" s="51" t="n"/>
      <c r="D17" s="51" t="n"/>
      <c r="E17" s="49" t="n"/>
      <c r="F17" s="52" t="n"/>
      <c r="G17" s="49" t="n"/>
      <c r="H17" s="57" t="str">
        <f>IF(tblCustomers[[#This Row],[顧客側主担当ID]]="","",IFERROR(INDEX(tblContacts[氏名],MATCH(tblCustomers[[#This Row],[顧客側主担当ID]],tblContacts[担当者ID],0))&amp;"","（未登録のID）"))</f>
        <v/>
      </c>
      <c r="I17" s="52" t="n"/>
      <c r="J17" s="58" t="n"/>
      <c r="K17" s="59" t="n"/>
      <c r="L17" s="51" t="n"/>
      <c r="M17" s="51" t="n"/>
      <c r="N17" s="55" t="str">
        <f>IF(tblCustomers[[#This Row],[顧客ID]]="","",COUNTIFS(tblCases[顧客ID],tblCustomers[[#This Row],[顧客ID]]))</f>
        <v/>
      </c>
      <c r="O17" s="55" t="str">
        <f>IF(tblCustomers[[#This Row],[顧客ID]]="","",COUNTIFS(tblCases[顧客ID],tblCustomers[[#This Row],[顧客ID]],tblCases[進行中],1))</f>
        <v/>
      </c>
      <c r="P17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7" s="61" t="str">
        <f>IFERROR(VALUE(MID(tblCustomers[[#This Row],[顧客ID]],2,20)),"")</f>
        <v/>
      </c>
    </row>
    <row r="18">
      <c r="A18" s="49" t="n"/>
      <c r="B18" s="51" t="n"/>
      <c r="C18" s="51" t="n"/>
      <c r="D18" s="51" t="n"/>
      <c r="E18" s="49" t="n"/>
      <c r="F18" s="52" t="n"/>
      <c r="G18" s="49" t="n"/>
      <c r="H18" s="57" t="str">
        <f>IF(tblCustomers[[#This Row],[顧客側主担当ID]]="","",IFERROR(INDEX(tblContacts[氏名],MATCH(tblCustomers[[#This Row],[顧客側主担当ID]],tblContacts[担当者ID],0))&amp;"","（未登録のID）"))</f>
        <v/>
      </c>
      <c r="I18" s="52" t="n"/>
      <c r="J18" s="58" t="n"/>
      <c r="K18" s="59" t="n"/>
      <c r="L18" s="51" t="n"/>
      <c r="M18" s="51" t="n"/>
      <c r="N18" s="55" t="str">
        <f>IF(tblCustomers[[#This Row],[顧客ID]]="","",COUNTIFS(tblCases[顧客ID],tblCustomers[[#This Row],[顧客ID]]))</f>
        <v/>
      </c>
      <c r="O18" s="55" t="str">
        <f>IF(tblCustomers[[#This Row],[顧客ID]]="","",COUNTIFS(tblCases[顧客ID],tblCustomers[[#This Row],[顧客ID]],tblCases[進行中],1))</f>
        <v/>
      </c>
      <c r="P18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8" s="61" t="str">
        <f>IFERROR(VALUE(MID(tblCustomers[[#This Row],[顧客ID]],2,20)),"")</f>
        <v/>
      </c>
    </row>
    <row r="19">
      <c r="A19" s="49" t="n"/>
      <c r="B19" s="51" t="n"/>
      <c r="C19" s="51" t="n"/>
      <c r="D19" s="51" t="n"/>
      <c r="E19" s="49" t="n"/>
      <c r="F19" s="52" t="n"/>
      <c r="G19" s="49" t="n"/>
      <c r="H19" s="57" t="str">
        <f>IF(tblCustomers[[#This Row],[顧客側主担当ID]]="","",IFERROR(INDEX(tblContacts[氏名],MATCH(tblCustomers[[#This Row],[顧客側主担当ID]],tblContacts[担当者ID],0))&amp;"","（未登録のID）"))</f>
        <v/>
      </c>
      <c r="I19" s="52" t="n"/>
      <c r="J19" s="58" t="n"/>
      <c r="K19" s="59" t="n"/>
      <c r="L19" s="51" t="n"/>
      <c r="M19" s="51" t="n"/>
      <c r="N19" s="55" t="str">
        <f>IF(tblCustomers[[#This Row],[顧客ID]]="","",COUNTIFS(tblCases[顧客ID],tblCustomers[[#This Row],[顧客ID]]))</f>
        <v/>
      </c>
      <c r="O19" s="55" t="str">
        <f>IF(tblCustomers[[#This Row],[顧客ID]]="","",COUNTIFS(tblCases[顧客ID],tblCustomers[[#This Row],[顧客ID]],tblCases[進行中],1))</f>
        <v/>
      </c>
      <c r="P19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19" s="61" t="str">
        <f>IFERROR(VALUE(MID(tblCustomers[[#This Row],[顧客ID]],2,20)),"")</f>
        <v/>
      </c>
    </row>
    <row r="20">
      <c r="A20" s="49" t="n"/>
      <c r="B20" s="51" t="n"/>
      <c r="C20" s="51" t="n"/>
      <c r="D20" s="51" t="n"/>
      <c r="E20" s="49" t="n"/>
      <c r="F20" s="52" t="n"/>
      <c r="G20" s="49" t="n"/>
      <c r="H20" s="57" t="str">
        <f>IF(tblCustomers[[#This Row],[顧客側主担当ID]]="","",IFERROR(INDEX(tblContacts[氏名],MATCH(tblCustomers[[#This Row],[顧客側主担当ID]],tblContacts[担当者ID],0))&amp;"","（未登録のID）"))</f>
        <v/>
      </c>
      <c r="I20" s="52" t="n"/>
      <c r="J20" s="58" t="n"/>
      <c r="K20" s="59" t="n"/>
      <c r="L20" s="51" t="n"/>
      <c r="M20" s="51" t="n"/>
      <c r="N20" s="55" t="str">
        <f>IF(tblCustomers[[#This Row],[顧客ID]]="","",COUNTIFS(tblCases[顧客ID],tblCustomers[[#This Row],[顧客ID]]))</f>
        <v/>
      </c>
      <c r="O20" s="55" t="str">
        <f>IF(tblCustomers[[#This Row],[顧客ID]]="","",COUNTIFS(tblCases[顧客ID],tblCustomers[[#This Row],[顧客ID]],tblCases[進行中],1))</f>
        <v/>
      </c>
      <c r="P20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0" s="61" t="str">
        <f>IFERROR(VALUE(MID(tblCustomers[[#This Row],[顧客ID]],2,20)),"")</f>
        <v/>
      </c>
    </row>
    <row r="21">
      <c r="A21" s="49" t="n"/>
      <c r="B21" s="51" t="n"/>
      <c r="C21" s="51" t="n"/>
      <c r="D21" s="51" t="n"/>
      <c r="E21" s="49" t="n"/>
      <c r="F21" s="52" t="n"/>
      <c r="G21" s="49" t="n"/>
      <c r="H21" s="57" t="str">
        <f>IF(tblCustomers[[#This Row],[顧客側主担当ID]]="","",IFERROR(INDEX(tblContacts[氏名],MATCH(tblCustomers[[#This Row],[顧客側主担当ID]],tblContacts[担当者ID],0))&amp;"","（未登録のID）"))</f>
        <v/>
      </c>
      <c r="I21" s="52" t="n"/>
      <c r="J21" s="58" t="n"/>
      <c r="K21" s="59" t="n"/>
      <c r="L21" s="51" t="n"/>
      <c r="M21" s="51" t="n"/>
      <c r="N21" s="55" t="str">
        <f>IF(tblCustomers[[#This Row],[顧客ID]]="","",COUNTIFS(tblCases[顧客ID],tblCustomers[[#This Row],[顧客ID]]))</f>
        <v/>
      </c>
      <c r="O21" s="55" t="str">
        <f>IF(tblCustomers[[#This Row],[顧客ID]]="","",COUNTIFS(tblCases[顧客ID],tblCustomers[[#This Row],[顧客ID]],tblCases[進行中],1))</f>
        <v/>
      </c>
      <c r="P21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1" s="61" t="str">
        <f>IFERROR(VALUE(MID(tblCustomers[[#This Row],[顧客ID]],2,20)),"")</f>
        <v/>
      </c>
    </row>
    <row r="22">
      <c r="A22" s="49" t="n"/>
      <c r="B22" s="51" t="n"/>
      <c r="C22" s="51" t="n"/>
      <c r="D22" s="51" t="n"/>
      <c r="E22" s="49" t="n"/>
      <c r="F22" s="52" t="n"/>
      <c r="G22" s="49" t="n"/>
      <c r="H22" s="57" t="str">
        <f>IF(tblCustomers[[#This Row],[顧客側主担当ID]]="","",IFERROR(INDEX(tblContacts[氏名],MATCH(tblCustomers[[#This Row],[顧客側主担当ID]],tblContacts[担当者ID],0))&amp;"","（未登録のID）"))</f>
        <v/>
      </c>
      <c r="I22" s="52" t="n"/>
      <c r="J22" s="58" t="n"/>
      <c r="K22" s="59" t="n"/>
      <c r="L22" s="51" t="n"/>
      <c r="M22" s="51" t="n"/>
      <c r="N22" s="55" t="str">
        <f>IF(tblCustomers[[#This Row],[顧客ID]]="","",COUNTIFS(tblCases[顧客ID],tblCustomers[[#This Row],[顧客ID]]))</f>
        <v/>
      </c>
      <c r="O22" s="55" t="str">
        <f>IF(tblCustomers[[#This Row],[顧客ID]]="","",COUNTIFS(tblCases[顧客ID],tblCustomers[[#This Row],[顧客ID]],tblCases[進行中],1))</f>
        <v/>
      </c>
      <c r="P22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2" s="61" t="str">
        <f>IFERROR(VALUE(MID(tblCustomers[[#This Row],[顧客ID]],2,20)),"")</f>
        <v/>
      </c>
    </row>
    <row r="23">
      <c r="A23" s="49" t="n"/>
      <c r="B23" s="51" t="n"/>
      <c r="C23" s="51" t="n"/>
      <c r="D23" s="51" t="n"/>
      <c r="E23" s="49" t="n"/>
      <c r="F23" s="52" t="n"/>
      <c r="G23" s="49" t="n"/>
      <c r="H23" s="57" t="str">
        <f>IF(tblCustomers[[#This Row],[顧客側主担当ID]]="","",IFERROR(INDEX(tblContacts[氏名],MATCH(tblCustomers[[#This Row],[顧客側主担当ID]],tblContacts[担当者ID],0))&amp;"","（未登録のID）"))</f>
        <v/>
      </c>
      <c r="I23" s="52" t="n"/>
      <c r="J23" s="58" t="n"/>
      <c r="K23" s="59" t="n"/>
      <c r="L23" s="51" t="n"/>
      <c r="M23" s="51" t="n"/>
      <c r="N23" s="55" t="str">
        <f>IF(tblCustomers[[#This Row],[顧客ID]]="","",COUNTIFS(tblCases[顧客ID],tblCustomers[[#This Row],[顧客ID]]))</f>
        <v/>
      </c>
      <c r="O23" s="55" t="str">
        <f>IF(tblCustomers[[#This Row],[顧客ID]]="","",COUNTIFS(tblCases[顧客ID],tblCustomers[[#This Row],[顧客ID]],tblCases[進行中],1))</f>
        <v/>
      </c>
      <c r="P23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3" s="61" t="str">
        <f>IFERROR(VALUE(MID(tblCustomers[[#This Row],[顧客ID]],2,20)),"")</f>
        <v/>
      </c>
    </row>
    <row r="24">
      <c r="A24" s="49" t="n"/>
      <c r="B24" s="51" t="n"/>
      <c r="C24" s="51" t="n"/>
      <c r="D24" s="51" t="n"/>
      <c r="E24" s="49" t="n"/>
      <c r="F24" s="52" t="n"/>
      <c r="G24" s="49" t="n"/>
      <c r="H24" s="57" t="str">
        <f>IF(tblCustomers[[#This Row],[顧客側主担当ID]]="","",IFERROR(INDEX(tblContacts[氏名],MATCH(tblCustomers[[#This Row],[顧客側主担当ID]],tblContacts[担当者ID],0))&amp;"","（未登録のID）"))</f>
        <v/>
      </c>
      <c r="I24" s="52" t="n"/>
      <c r="J24" s="58" t="n"/>
      <c r="K24" s="59" t="n"/>
      <c r="L24" s="51" t="n"/>
      <c r="M24" s="51" t="n"/>
      <c r="N24" s="55" t="str">
        <f>IF(tblCustomers[[#This Row],[顧客ID]]="","",COUNTIFS(tblCases[顧客ID],tblCustomers[[#This Row],[顧客ID]]))</f>
        <v/>
      </c>
      <c r="O24" s="55" t="str">
        <f>IF(tblCustomers[[#This Row],[顧客ID]]="","",COUNTIFS(tblCases[顧客ID],tblCustomers[[#This Row],[顧客ID]],tblCases[進行中],1))</f>
        <v/>
      </c>
      <c r="P24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4" s="61" t="str">
        <f>IFERROR(VALUE(MID(tblCustomers[[#This Row],[顧客ID]],2,20)),"")</f>
        <v/>
      </c>
    </row>
    <row r="25">
      <c r="A25" s="49" t="n"/>
      <c r="B25" s="51" t="n"/>
      <c r="C25" s="51" t="n"/>
      <c r="D25" s="51" t="n"/>
      <c r="E25" s="49" t="n"/>
      <c r="F25" s="52" t="n"/>
      <c r="G25" s="49" t="n"/>
      <c r="H25" s="57" t="str">
        <f>IF(tblCustomers[[#This Row],[顧客側主担当ID]]="","",IFERROR(INDEX(tblContacts[氏名],MATCH(tblCustomers[[#This Row],[顧客側主担当ID]],tblContacts[担当者ID],0))&amp;"","（未登録のID）"))</f>
        <v/>
      </c>
      <c r="I25" s="52" t="n"/>
      <c r="J25" s="58" t="n"/>
      <c r="K25" s="59" t="n"/>
      <c r="L25" s="51" t="n"/>
      <c r="M25" s="51" t="n"/>
      <c r="N25" s="55" t="str">
        <f>IF(tblCustomers[[#This Row],[顧客ID]]="","",COUNTIFS(tblCases[顧客ID],tblCustomers[[#This Row],[顧客ID]]))</f>
        <v/>
      </c>
      <c r="O25" s="55" t="str">
        <f>IF(tblCustomers[[#This Row],[顧客ID]]="","",COUNTIFS(tblCases[顧客ID],tblCustomers[[#This Row],[顧客ID]],tblCases[進行中],1))</f>
        <v/>
      </c>
      <c r="P25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5" s="61" t="str">
        <f>IFERROR(VALUE(MID(tblCustomers[[#This Row],[顧客ID]],2,20)),"")</f>
        <v/>
      </c>
    </row>
    <row r="26">
      <c r="A26" s="49" t="n"/>
      <c r="B26" s="51" t="n"/>
      <c r="C26" s="51" t="n"/>
      <c r="D26" s="51" t="n"/>
      <c r="E26" s="49" t="n"/>
      <c r="F26" s="52" t="n"/>
      <c r="G26" s="49" t="n"/>
      <c r="H26" s="57" t="str">
        <f>IF(tblCustomers[[#This Row],[顧客側主担当ID]]="","",IFERROR(INDEX(tblContacts[氏名],MATCH(tblCustomers[[#This Row],[顧客側主担当ID]],tblContacts[担当者ID],0))&amp;"","（未登録のID）"))</f>
        <v/>
      </c>
      <c r="I26" s="52" t="n"/>
      <c r="J26" s="58" t="n"/>
      <c r="K26" s="59" t="n"/>
      <c r="L26" s="51" t="n"/>
      <c r="M26" s="51" t="n"/>
      <c r="N26" s="55" t="str">
        <f>IF(tblCustomers[[#This Row],[顧客ID]]="","",COUNTIFS(tblCases[顧客ID],tblCustomers[[#This Row],[顧客ID]]))</f>
        <v/>
      </c>
      <c r="O26" s="55" t="str">
        <f>IF(tblCustomers[[#This Row],[顧客ID]]="","",COUNTIFS(tblCases[顧客ID],tblCustomers[[#This Row],[顧客ID]],tblCases[進行中],1))</f>
        <v/>
      </c>
      <c r="P26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6" s="61" t="str">
        <f>IFERROR(VALUE(MID(tblCustomers[[#This Row],[顧客ID]],2,20)),"")</f>
        <v/>
      </c>
    </row>
    <row r="27">
      <c r="A27" s="49" t="n"/>
      <c r="B27" s="51" t="n"/>
      <c r="C27" s="51" t="n"/>
      <c r="D27" s="51" t="n"/>
      <c r="E27" s="49" t="n"/>
      <c r="F27" s="52" t="n"/>
      <c r="G27" s="49" t="n"/>
      <c r="H27" s="57" t="str">
        <f>IF(tblCustomers[[#This Row],[顧客側主担当ID]]="","",IFERROR(INDEX(tblContacts[氏名],MATCH(tblCustomers[[#This Row],[顧客側主担当ID]],tblContacts[担当者ID],0))&amp;"","（未登録のID）"))</f>
        <v/>
      </c>
      <c r="I27" s="52" t="n"/>
      <c r="J27" s="58" t="n"/>
      <c r="K27" s="59" t="n"/>
      <c r="L27" s="51" t="n"/>
      <c r="M27" s="51" t="n"/>
      <c r="N27" s="55" t="str">
        <f>IF(tblCustomers[[#This Row],[顧客ID]]="","",COUNTIFS(tblCases[顧客ID],tblCustomers[[#This Row],[顧客ID]]))</f>
        <v/>
      </c>
      <c r="O27" s="55" t="str">
        <f>IF(tblCustomers[[#This Row],[顧客ID]]="","",COUNTIFS(tblCases[顧客ID],tblCustomers[[#This Row],[顧客ID]],tblCases[進行中],1))</f>
        <v/>
      </c>
      <c r="P27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7" s="61" t="str">
        <f>IFERROR(VALUE(MID(tblCustomers[[#This Row],[顧客ID]],2,20)),"")</f>
        <v/>
      </c>
    </row>
    <row r="28">
      <c r="A28" s="49" t="n"/>
      <c r="B28" s="51" t="n"/>
      <c r="C28" s="51" t="n"/>
      <c r="D28" s="51" t="n"/>
      <c r="E28" s="49" t="n"/>
      <c r="F28" s="52" t="n"/>
      <c r="G28" s="49" t="n"/>
      <c r="H28" s="57" t="str">
        <f>IF(tblCustomers[[#This Row],[顧客側主担当ID]]="","",IFERROR(INDEX(tblContacts[氏名],MATCH(tblCustomers[[#This Row],[顧客側主担当ID]],tblContacts[担当者ID],0))&amp;"","（未登録のID）"))</f>
        <v/>
      </c>
      <c r="I28" s="52" t="n"/>
      <c r="J28" s="58" t="n"/>
      <c r="K28" s="59" t="n"/>
      <c r="L28" s="51" t="n"/>
      <c r="M28" s="51" t="n"/>
      <c r="N28" s="55" t="str">
        <f>IF(tblCustomers[[#This Row],[顧客ID]]="","",COUNTIFS(tblCases[顧客ID],tblCustomers[[#This Row],[顧客ID]]))</f>
        <v/>
      </c>
      <c r="O28" s="55" t="str">
        <f>IF(tblCustomers[[#This Row],[顧客ID]]="","",COUNTIFS(tblCases[顧客ID],tblCustomers[[#This Row],[顧客ID]],tblCases[進行中],1))</f>
        <v/>
      </c>
      <c r="P28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8" s="61" t="str">
        <f>IFERROR(VALUE(MID(tblCustomers[[#This Row],[顧客ID]],2,20)),"")</f>
        <v/>
      </c>
    </row>
    <row r="29">
      <c r="A29" s="49" t="n"/>
      <c r="B29" s="51" t="n"/>
      <c r="C29" s="51" t="n"/>
      <c r="D29" s="51" t="n"/>
      <c r="E29" s="49" t="n"/>
      <c r="F29" s="52" t="n"/>
      <c r="G29" s="49" t="n"/>
      <c r="H29" s="57" t="str">
        <f>IF(tblCustomers[[#This Row],[顧客側主担当ID]]="","",IFERROR(INDEX(tblContacts[氏名],MATCH(tblCustomers[[#This Row],[顧客側主担当ID]],tblContacts[担当者ID],0))&amp;"","（未登録のID）"))</f>
        <v/>
      </c>
      <c r="I29" s="52" t="n"/>
      <c r="J29" s="58" t="n"/>
      <c r="K29" s="59" t="n"/>
      <c r="L29" s="51" t="n"/>
      <c r="M29" s="51" t="n"/>
      <c r="N29" s="55" t="str">
        <f>IF(tblCustomers[[#This Row],[顧客ID]]="","",COUNTIFS(tblCases[顧客ID],tblCustomers[[#This Row],[顧客ID]]))</f>
        <v/>
      </c>
      <c r="O29" s="55" t="str">
        <f>IF(tblCustomers[[#This Row],[顧客ID]]="","",COUNTIFS(tblCases[顧客ID],tblCustomers[[#This Row],[顧客ID]],tblCases[進行中],1))</f>
        <v/>
      </c>
      <c r="P29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29" s="61" t="str">
        <f>IFERROR(VALUE(MID(tblCustomers[[#This Row],[顧客ID]],2,20)),"")</f>
        <v/>
      </c>
    </row>
    <row r="30">
      <c r="A30" s="49" t="n"/>
      <c r="B30" s="51" t="n"/>
      <c r="C30" s="51" t="n"/>
      <c r="D30" s="51" t="n"/>
      <c r="E30" s="49" t="n"/>
      <c r="F30" s="52" t="n"/>
      <c r="G30" s="49" t="n"/>
      <c r="H30" s="57" t="str">
        <f>IF(tblCustomers[[#This Row],[顧客側主担当ID]]="","",IFERROR(INDEX(tblContacts[氏名],MATCH(tblCustomers[[#This Row],[顧客側主担当ID]],tblContacts[担当者ID],0))&amp;"","（未登録のID）"))</f>
        <v/>
      </c>
      <c r="I30" s="52" t="n"/>
      <c r="J30" s="58" t="n"/>
      <c r="K30" s="59" t="n"/>
      <c r="L30" s="51" t="n"/>
      <c r="M30" s="51" t="n"/>
      <c r="N30" s="55" t="str">
        <f>IF(tblCustomers[[#This Row],[顧客ID]]="","",COUNTIFS(tblCases[顧客ID],tblCustomers[[#This Row],[顧客ID]]))</f>
        <v/>
      </c>
      <c r="O30" s="55" t="str">
        <f>IF(tblCustomers[[#This Row],[顧客ID]]="","",COUNTIFS(tblCases[顧客ID],tblCustomers[[#This Row],[顧客ID]],tblCases[進行中],1))</f>
        <v/>
      </c>
      <c r="P30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30" s="61" t="str">
        <f>IFERROR(VALUE(MID(tblCustomers[[#This Row],[顧客ID]],2,20)),"")</f>
        <v/>
      </c>
    </row>
    <row r="31">
      <c r="A31" s="49" t="n"/>
      <c r="B31" s="51" t="n"/>
      <c r="C31" s="51" t="n"/>
      <c r="D31" s="51" t="n"/>
      <c r="E31" s="49" t="n"/>
      <c r="F31" s="52" t="n"/>
      <c r="G31" s="49" t="n"/>
      <c r="H31" s="57" t="str">
        <f>IF(tblCustomers[[#This Row],[顧客側主担当ID]]="","",IFERROR(INDEX(tblContacts[氏名],MATCH(tblCustomers[[#This Row],[顧客側主担当ID]],tblContacts[担当者ID],0))&amp;"","（未登録のID）"))</f>
        <v/>
      </c>
      <c r="I31" s="52" t="n"/>
      <c r="J31" s="58" t="n"/>
      <c r="K31" s="59" t="n"/>
      <c r="L31" s="51" t="n"/>
      <c r="M31" s="51" t="n"/>
      <c r="N31" s="55" t="str">
        <f>IF(tblCustomers[[#This Row],[顧客ID]]="","",COUNTIFS(tblCases[顧客ID],tblCustomers[[#This Row],[顧客ID]]))</f>
        <v/>
      </c>
      <c r="O31" s="55" t="str">
        <f>IF(tblCustomers[[#This Row],[顧客ID]]="","",COUNTIFS(tblCases[顧客ID],tblCustomers[[#This Row],[顧客ID]],tblCases[進行中],1))</f>
        <v/>
      </c>
      <c r="P31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31" s="61" t="str">
        <f>IFERROR(VALUE(MID(tblCustomers[[#This Row],[顧客ID]],2,20)),"")</f>
        <v/>
      </c>
    </row>
    <row r="32">
      <c r="A32" s="49" t="n"/>
      <c r="B32" s="51" t="n"/>
      <c r="C32" s="51" t="n"/>
      <c r="D32" s="51" t="n"/>
      <c r="E32" s="49" t="n"/>
      <c r="F32" s="52" t="n"/>
      <c r="G32" s="49" t="n"/>
      <c r="H32" s="57" t="str">
        <f>IF(tblCustomers[[#This Row],[顧客側主担当ID]]="","",IFERROR(INDEX(tblContacts[氏名],MATCH(tblCustomers[[#This Row],[顧客側主担当ID]],tblContacts[担当者ID],0))&amp;"","（未登録のID）"))</f>
        <v/>
      </c>
      <c r="I32" s="52" t="n"/>
      <c r="J32" s="58" t="n"/>
      <c r="K32" s="59" t="n"/>
      <c r="L32" s="51" t="n"/>
      <c r="M32" s="51" t="n"/>
      <c r="N32" s="55" t="str">
        <f>IF(tblCustomers[[#This Row],[顧客ID]]="","",COUNTIFS(tblCases[顧客ID],tblCustomers[[#This Row],[顧客ID]]))</f>
        <v/>
      </c>
      <c r="O32" s="55" t="str">
        <f>IF(tblCustomers[[#This Row],[顧客ID]]="","",COUNTIFS(tblCases[顧客ID],tblCustomers[[#This Row],[顧客ID]],tblCases[進行中],1))</f>
        <v/>
      </c>
      <c r="P32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32" s="61" t="str">
        <f>IFERROR(VALUE(MID(tblCustomers[[#This Row],[顧客ID]],2,20)),"")</f>
        <v/>
      </c>
    </row>
    <row r="33">
      <c r="A33" s="49" t="n"/>
      <c r="B33" s="51" t="n"/>
      <c r="C33" s="51" t="n"/>
      <c r="D33" s="51" t="n"/>
      <c r="E33" s="49" t="n"/>
      <c r="F33" s="52" t="n"/>
      <c r="G33" s="49" t="n"/>
      <c r="H33" s="57" t="str">
        <f>IF(tblCustomers[[#This Row],[顧客側主担当ID]]="","",IFERROR(INDEX(tblContacts[氏名],MATCH(tblCustomers[[#This Row],[顧客側主担当ID]],tblContacts[担当者ID],0))&amp;"","（未登録のID）"))</f>
        <v/>
      </c>
      <c r="I33" s="52" t="n"/>
      <c r="J33" s="58" t="n"/>
      <c r="K33" s="59" t="n"/>
      <c r="L33" s="51" t="n"/>
      <c r="M33" s="51" t="n"/>
      <c r="N33" s="55" t="str">
        <f>IF(tblCustomers[[#This Row],[顧客ID]]="","",COUNTIFS(tblCases[顧客ID],tblCustomers[[#This Row],[顧客ID]]))</f>
        <v/>
      </c>
      <c r="O33" s="55" t="str">
        <f>IF(tblCustomers[[#This Row],[顧客ID]]="","",COUNTIFS(tblCases[顧客ID],tblCustomers[[#This Row],[顧客ID]],tblCases[進行中],1))</f>
        <v/>
      </c>
      <c r="P33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33" s="61" t="str">
        <f>IFERROR(VALUE(MID(tblCustomers[[#This Row],[顧客ID]],2,20)),"")</f>
        <v/>
      </c>
    </row>
    <row r="34">
      <c r="A34" s="49" t="n"/>
      <c r="B34" s="51" t="n"/>
      <c r="C34" s="51" t="n"/>
      <c r="D34" s="51" t="n"/>
      <c r="E34" s="49" t="n"/>
      <c r="F34" s="52" t="n"/>
      <c r="G34" s="49" t="n"/>
      <c r="H34" s="57" t="str">
        <f>IF(tblCustomers[[#This Row],[顧客側主担当ID]]="","",IFERROR(INDEX(tblContacts[氏名],MATCH(tblCustomers[[#This Row],[顧客側主担当ID]],tblContacts[担当者ID],0))&amp;"","（未登録のID）"))</f>
        <v/>
      </c>
      <c r="I34" s="52" t="n"/>
      <c r="J34" s="58" t="n"/>
      <c r="K34" s="59" t="n"/>
      <c r="L34" s="51" t="n"/>
      <c r="M34" s="51" t="n"/>
      <c r="N34" s="55" t="str">
        <f>IF(tblCustomers[[#This Row],[顧客ID]]="","",COUNTIFS(tblCases[顧客ID],tblCustomers[[#This Row],[顧客ID]]))</f>
        <v/>
      </c>
      <c r="O34" s="55" t="str">
        <f>IF(tblCustomers[[#This Row],[顧客ID]]="","",COUNTIFS(tblCases[顧客ID],tblCustomers[[#This Row],[顧客ID]],tblCases[進行中],1))</f>
        <v/>
      </c>
      <c r="P34" s="50" t="str">
        <f>IF(AND(tblCustomers[[#This Row],[顧客ID]]="",tblCustomers[[#This Row],[会社名]]=""),"",_xlfn.TEXTJOIN("／",TRUE,IF(tblCustomers[[#This Row],[顧客ID]]="","顧客IDが空欄",IF(tblCustomers[[#This Row],[ID番号]]="","顧客IDの形式（英字1字＋数字）","")),IF(AND(tblCustomers[[#This Row],[顧客ID]]&lt;&gt;"",COUNTIF(tblCustomers[顧客ID],tblCustomers[[#This Row],[顧客ID]])&gt;1),"顧客IDが重複",""),IF(tblCustomers[[#This Row],[会社名]]="","会社名が空欄",""),IF(AND(tblCustomers[[#This Row],[顧客側主担当ID]]&lt;&gt;"",COUNTIFS(tblContacts[担当者ID],tblCustomers[[#This Row],[顧客側主担当ID]],tblContacts[顧客ID],tblCustomers[[#This Row],[顧客ID]])=0),"主担当IDが未登録か別顧客",""),IF(AND(tblCustomers[[#This Row],[社内主担当]]&lt;&gt;"",COUNTIF(lst_Staff,tblCustomers[[#This Row],[社内主担当]])=0),"社内主担当が候補外",""),IF(AND(tblCustomers[[#This Row],[連絡可否]]&lt;&gt;"",COUNTIF(lst_Contact,tblCustomers[[#This Row],[連絡可否]])=0),"連絡可否は「可」か「停止」",""),IF(AND(tblCustomers[[#This Row],[連絡可否]]="停止",tblCustomers[[#This Row],[連絡停止日]]=""),"連絡停止日が未入力","")))</f>
        <v/>
      </c>
      <c r="Q34" s="61" t="str">
        <f>IFERROR(VALUE(MID(tblCustomers[[#This Row],[顧客ID]],2,20)),"")</f>
        <v/>
      </c>
    </row>
  </sheetData>
  <conditionalFormatting sqref="P6:P2000">
    <cfRule type="expression" priority="1" dxfId="2" stopIfTrue="1">
      <formula>$P6&lt;&gt;""</formula>
    </cfRule>
  </conditionalFormatting>
  <conditionalFormatting sqref="J6:J2000">
    <cfRule type="expression" priority="2" dxfId="6" stopIfTrue="1">
      <formula>$J6="停止"</formula>
    </cfRule>
  </conditionalFormatting>
  <dataValidations count="5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G6:G2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=dv_ContactID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J6:J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=dv_Contact</formula1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M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zoomScale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24" customWidth="1" min="3" max="3"/>
    <col width="14" customWidth="1" min="4" max="4"/>
    <col width="16" customWidth="1" min="5" max="5"/>
    <col width="12" customWidth="1" min="6" max="6"/>
    <col width="14" customWidth="1" min="7" max="7"/>
    <col width="26" customWidth="1" min="8" max="8"/>
    <col width="8" customWidth="1" min="9" max="9"/>
    <col width="24" customWidth="1" min="10" max="10"/>
    <col width="24" customWidth="1" min="11" max="11"/>
    <col width="7" customWidth="1" min="12" max="12"/>
  </cols>
  <sheetData>
    <row r="1" ht="30" customHeight="1">
      <c r="A1" s="1" t="inlineStr">
        <is>
          <t>担当者マスター（顧客側の担当者）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6" t="inlineStr">
        <is>
          <t>← ホームへ</t>
        </is>
      </c>
    </row>
    <row r="2" ht="20" customHeight="1">
      <c r="A2" s="4" t="inlineStr">
        <is>
          <t>顧客側の担当者と顧客IDの対応です。自社の担当者は 07_設定 に入力します。</t>
        </is>
      </c>
    </row>
    <row r="3" ht="22" customHeight="1">
      <c r="A3" s="37" t="inlineStr">
        <is>
          <t>凡例</t>
        </is>
      </c>
      <c r="B3" s="38" t="inlineStr">
        <is>
          <t>入力</t>
        </is>
      </c>
      <c r="C3" s="39" t="inlineStr">
        <is>
          <t>自動計算</t>
        </is>
      </c>
      <c r="D3" s="40" t="inlineStr">
        <is>
          <t>計算用（編集しない）</t>
        </is>
      </c>
      <c r="E3" s="41" t="inlineStr">
        <is>
          <t>注意・要確認</t>
        </is>
      </c>
      <c r="F3" s="42" t="inlineStr">
        <is>
          <t>期限超過</t>
        </is>
      </c>
      <c r="H3" s="43" t="inlineStr">
        <is>
          <t>次の担当者ID候補</t>
        </is>
      </c>
      <c r="I3" s="44" t="str">
        <f>"P"&amp;TEXT(MAX(0,MAX(tblContacts[ID番号]))+1,"000")</f>
        <v>P001</v>
      </c>
      <c r="J3" s="45" t="inlineStr">
        <is>
          <t>← 新しい行のIDはこれを見て値で入力（自動では付きません）</t>
        </is>
      </c>
    </row>
    <row r="4" ht="6" customHeight="1"/>
    <row r="5" ht="36" customHeight="1">
      <c r="A5" s="46" t="inlineStr">
        <is>
          <t>担当者ID</t>
        </is>
      </c>
      <c r="B5" s="46" t="inlineStr">
        <is>
          <t>顧客ID</t>
        </is>
      </c>
      <c r="C5" s="47" t="inlineStr">
        <is>
          <t>会社名</t>
        </is>
      </c>
      <c r="D5" s="46" t="inlineStr">
        <is>
          <t>氏名</t>
        </is>
      </c>
      <c r="E5" s="46" t="inlineStr">
        <is>
          <t>部署</t>
        </is>
      </c>
      <c r="F5" s="46" t="inlineStr">
        <is>
          <t>役職</t>
        </is>
      </c>
      <c r="G5" s="46" t="inlineStr">
        <is>
          <t>電話</t>
        </is>
      </c>
      <c r="H5" s="46" t="inlineStr">
        <is>
          <t>メール</t>
        </is>
      </c>
      <c r="I5" s="46" t="inlineStr">
        <is>
          <t>連絡可否</t>
        </is>
      </c>
      <c r="J5" s="46" t="inlineStr">
        <is>
          <t>補足</t>
        </is>
      </c>
      <c r="K5" s="47" t="inlineStr">
        <is>
          <t>入力チェック</t>
        </is>
      </c>
      <c r="L5" s="48" t="inlineStr">
        <is>
          <t>ID番号</t>
        </is>
      </c>
    </row>
    <row r="6">
      <c r="A6" s="49" t="n"/>
      <c r="B6" s="49" t="n"/>
      <c r="C6" s="50" t="str">
        <f>IF(tblContacts[[#This Row],[顧客ID]]="","",IFERROR(INDEX(tblCustomers[会社名],MATCH(tblContacts[[#This Row],[顧客ID]],tblCustomers[顧客ID],0))&amp;"","（未登録の顧客ID）"))</f>
        <v/>
      </c>
      <c r="D6" s="52" t="n"/>
      <c r="E6" s="51" t="n"/>
      <c r="F6" s="52" t="n"/>
      <c r="G6" s="49" t="n"/>
      <c r="H6" s="52" t="n"/>
      <c r="I6" s="58" t="n"/>
      <c r="J6" s="51" t="n"/>
      <c r="K6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6" s="61" t="str">
        <f>IFERROR(VALUE(MID(tblContacts[[#This Row],[担当者ID]],2,20)),"")</f>
        <v/>
      </c>
    </row>
    <row r="7">
      <c r="A7" s="49" t="n"/>
      <c r="B7" s="49" t="n"/>
      <c r="C7" s="50" t="str">
        <f>IF(tblContacts[[#This Row],[顧客ID]]="","",IFERROR(INDEX(tblCustomers[会社名],MATCH(tblContacts[[#This Row],[顧客ID]],tblCustomers[顧客ID],0))&amp;"","（未登録の顧客ID）"))</f>
        <v/>
      </c>
      <c r="D7" s="52" t="n"/>
      <c r="E7" s="51" t="n"/>
      <c r="F7" s="52" t="n"/>
      <c r="G7" s="49" t="n"/>
      <c r="H7" s="52" t="n"/>
      <c r="I7" s="58" t="n"/>
      <c r="J7" s="51" t="n"/>
      <c r="K7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7" s="61" t="str">
        <f>IFERROR(VALUE(MID(tblContacts[[#This Row],[担当者ID]],2,20)),"")</f>
        <v/>
      </c>
    </row>
    <row r="8">
      <c r="A8" s="49" t="n"/>
      <c r="B8" s="49" t="n"/>
      <c r="C8" s="50" t="str">
        <f>IF(tblContacts[[#This Row],[顧客ID]]="","",IFERROR(INDEX(tblCustomers[会社名],MATCH(tblContacts[[#This Row],[顧客ID]],tblCustomers[顧客ID],0))&amp;"","（未登録の顧客ID）"))</f>
        <v/>
      </c>
      <c r="D8" s="52" t="n"/>
      <c r="E8" s="51" t="n"/>
      <c r="F8" s="52" t="n"/>
      <c r="G8" s="49" t="n"/>
      <c r="H8" s="52" t="n"/>
      <c r="I8" s="58" t="n"/>
      <c r="J8" s="51" t="n"/>
      <c r="K8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8" s="61" t="str">
        <f>IFERROR(VALUE(MID(tblContacts[[#This Row],[担当者ID]],2,20)),"")</f>
        <v/>
      </c>
    </row>
    <row r="9">
      <c r="A9" s="49" t="n"/>
      <c r="B9" s="49" t="n"/>
      <c r="C9" s="50" t="str">
        <f>IF(tblContacts[[#This Row],[顧客ID]]="","",IFERROR(INDEX(tblCustomers[会社名],MATCH(tblContacts[[#This Row],[顧客ID]],tblCustomers[顧客ID],0))&amp;"","（未登録の顧客ID）"))</f>
        <v/>
      </c>
      <c r="D9" s="52" t="n"/>
      <c r="E9" s="51" t="n"/>
      <c r="F9" s="52" t="n"/>
      <c r="G9" s="49" t="n"/>
      <c r="H9" s="52" t="n"/>
      <c r="I9" s="58" t="n"/>
      <c r="J9" s="51" t="n"/>
      <c r="K9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9" s="61" t="str">
        <f>IFERROR(VALUE(MID(tblContacts[[#This Row],[担当者ID]],2,20)),"")</f>
        <v/>
      </c>
    </row>
    <row r="10">
      <c r="A10" s="49" t="n"/>
      <c r="B10" s="49" t="n"/>
      <c r="C10" s="50" t="str">
        <f>IF(tblContacts[[#This Row],[顧客ID]]="","",IFERROR(INDEX(tblCustomers[会社名],MATCH(tblContacts[[#This Row],[顧客ID]],tblCustomers[顧客ID],0))&amp;"","（未登録の顧客ID）"))</f>
        <v/>
      </c>
      <c r="D10" s="52" t="n"/>
      <c r="E10" s="51" t="n"/>
      <c r="F10" s="52" t="n"/>
      <c r="G10" s="49" t="n"/>
      <c r="H10" s="52" t="n"/>
      <c r="I10" s="58" t="n"/>
      <c r="J10" s="51" t="n"/>
      <c r="K10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0" s="61" t="str">
        <f>IFERROR(VALUE(MID(tblContacts[[#This Row],[担当者ID]],2,20)),"")</f>
        <v/>
      </c>
    </row>
    <row r="11">
      <c r="A11" s="49" t="n"/>
      <c r="B11" s="49" t="n"/>
      <c r="C11" s="50" t="str">
        <f>IF(tblContacts[[#This Row],[顧客ID]]="","",IFERROR(INDEX(tblCustomers[会社名],MATCH(tblContacts[[#This Row],[顧客ID]],tblCustomers[顧客ID],0))&amp;"","（未登録の顧客ID）"))</f>
        <v/>
      </c>
      <c r="D11" s="52" t="n"/>
      <c r="E11" s="51" t="n"/>
      <c r="F11" s="52" t="n"/>
      <c r="G11" s="49" t="n"/>
      <c r="H11" s="52" t="n"/>
      <c r="I11" s="58" t="n"/>
      <c r="J11" s="51" t="n"/>
      <c r="K11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1" s="61" t="str">
        <f>IFERROR(VALUE(MID(tblContacts[[#This Row],[担当者ID]],2,20)),"")</f>
        <v/>
      </c>
    </row>
    <row r="12">
      <c r="A12" s="49" t="n"/>
      <c r="B12" s="49" t="n"/>
      <c r="C12" s="50" t="str">
        <f>IF(tblContacts[[#This Row],[顧客ID]]="","",IFERROR(INDEX(tblCustomers[会社名],MATCH(tblContacts[[#This Row],[顧客ID]],tblCustomers[顧客ID],0))&amp;"","（未登録の顧客ID）"))</f>
        <v/>
      </c>
      <c r="D12" s="52" t="n"/>
      <c r="E12" s="51" t="n"/>
      <c r="F12" s="52" t="n"/>
      <c r="G12" s="49" t="n"/>
      <c r="H12" s="52" t="n"/>
      <c r="I12" s="58" t="n"/>
      <c r="J12" s="51" t="n"/>
      <c r="K12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2" s="61" t="str">
        <f>IFERROR(VALUE(MID(tblContacts[[#This Row],[担当者ID]],2,20)),"")</f>
        <v/>
      </c>
    </row>
    <row r="13">
      <c r="A13" s="49" t="n"/>
      <c r="B13" s="49" t="n"/>
      <c r="C13" s="50" t="str">
        <f>IF(tblContacts[[#This Row],[顧客ID]]="","",IFERROR(INDEX(tblCustomers[会社名],MATCH(tblContacts[[#This Row],[顧客ID]],tblCustomers[顧客ID],0))&amp;"","（未登録の顧客ID）"))</f>
        <v/>
      </c>
      <c r="D13" s="52" t="n"/>
      <c r="E13" s="51" t="n"/>
      <c r="F13" s="52" t="n"/>
      <c r="G13" s="49" t="n"/>
      <c r="H13" s="52" t="n"/>
      <c r="I13" s="58" t="n"/>
      <c r="J13" s="51" t="n"/>
      <c r="K13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3" s="61" t="str">
        <f>IFERROR(VALUE(MID(tblContacts[[#This Row],[担当者ID]],2,20)),"")</f>
        <v/>
      </c>
    </row>
    <row r="14">
      <c r="A14" s="49" t="n"/>
      <c r="B14" s="49" t="n"/>
      <c r="C14" s="50" t="str">
        <f>IF(tblContacts[[#This Row],[顧客ID]]="","",IFERROR(INDEX(tblCustomers[会社名],MATCH(tblContacts[[#This Row],[顧客ID]],tblCustomers[顧客ID],0))&amp;"","（未登録の顧客ID）"))</f>
        <v/>
      </c>
      <c r="D14" s="52" t="n"/>
      <c r="E14" s="51" t="n"/>
      <c r="F14" s="52" t="n"/>
      <c r="G14" s="49" t="n"/>
      <c r="H14" s="52" t="n"/>
      <c r="I14" s="58" t="n"/>
      <c r="J14" s="51" t="n"/>
      <c r="K14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4" s="61" t="str">
        <f>IFERROR(VALUE(MID(tblContacts[[#This Row],[担当者ID]],2,20)),"")</f>
        <v/>
      </c>
    </row>
    <row r="15">
      <c r="A15" s="49" t="n"/>
      <c r="B15" s="49" t="n"/>
      <c r="C15" s="50" t="str">
        <f>IF(tblContacts[[#This Row],[顧客ID]]="","",IFERROR(INDEX(tblCustomers[会社名],MATCH(tblContacts[[#This Row],[顧客ID]],tblCustomers[顧客ID],0))&amp;"","（未登録の顧客ID）"))</f>
        <v/>
      </c>
      <c r="D15" s="52" t="n"/>
      <c r="E15" s="51" t="n"/>
      <c r="F15" s="52" t="n"/>
      <c r="G15" s="49" t="n"/>
      <c r="H15" s="52" t="n"/>
      <c r="I15" s="58" t="n"/>
      <c r="J15" s="51" t="n"/>
      <c r="K15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5" s="61" t="str">
        <f>IFERROR(VALUE(MID(tblContacts[[#This Row],[担当者ID]],2,20)),"")</f>
        <v/>
      </c>
    </row>
    <row r="16">
      <c r="A16" s="49" t="n"/>
      <c r="B16" s="49" t="n"/>
      <c r="C16" s="50" t="str">
        <f>IF(tblContacts[[#This Row],[顧客ID]]="","",IFERROR(INDEX(tblCustomers[会社名],MATCH(tblContacts[[#This Row],[顧客ID]],tblCustomers[顧客ID],0))&amp;"","（未登録の顧客ID）"))</f>
        <v/>
      </c>
      <c r="D16" s="52" t="n"/>
      <c r="E16" s="51" t="n"/>
      <c r="F16" s="52" t="n"/>
      <c r="G16" s="49" t="n"/>
      <c r="H16" s="52" t="n"/>
      <c r="I16" s="58" t="n"/>
      <c r="J16" s="51" t="n"/>
      <c r="K16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6" s="61" t="str">
        <f>IFERROR(VALUE(MID(tblContacts[[#This Row],[担当者ID]],2,20)),"")</f>
        <v/>
      </c>
    </row>
    <row r="17">
      <c r="A17" s="49" t="n"/>
      <c r="B17" s="49" t="n"/>
      <c r="C17" s="50" t="str">
        <f>IF(tblContacts[[#This Row],[顧客ID]]="","",IFERROR(INDEX(tblCustomers[会社名],MATCH(tblContacts[[#This Row],[顧客ID]],tblCustomers[顧客ID],0))&amp;"","（未登録の顧客ID）"))</f>
        <v/>
      </c>
      <c r="D17" s="52" t="n"/>
      <c r="E17" s="51" t="n"/>
      <c r="F17" s="52" t="n"/>
      <c r="G17" s="49" t="n"/>
      <c r="H17" s="52" t="n"/>
      <c r="I17" s="58" t="n"/>
      <c r="J17" s="51" t="n"/>
      <c r="K17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7" s="61" t="str">
        <f>IFERROR(VALUE(MID(tblContacts[[#This Row],[担当者ID]],2,20)),"")</f>
        <v/>
      </c>
    </row>
    <row r="18">
      <c r="A18" s="49" t="n"/>
      <c r="B18" s="49" t="n"/>
      <c r="C18" s="50" t="str">
        <f>IF(tblContacts[[#This Row],[顧客ID]]="","",IFERROR(INDEX(tblCustomers[会社名],MATCH(tblContacts[[#This Row],[顧客ID]],tblCustomers[顧客ID],0))&amp;"","（未登録の顧客ID）"))</f>
        <v/>
      </c>
      <c r="D18" s="52" t="n"/>
      <c r="E18" s="51" t="n"/>
      <c r="F18" s="52" t="n"/>
      <c r="G18" s="49" t="n"/>
      <c r="H18" s="52" t="n"/>
      <c r="I18" s="58" t="n"/>
      <c r="J18" s="51" t="n"/>
      <c r="K18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8" s="61" t="str">
        <f>IFERROR(VALUE(MID(tblContacts[[#This Row],[担当者ID]],2,20)),"")</f>
        <v/>
      </c>
    </row>
    <row r="19">
      <c r="A19" s="49" t="n"/>
      <c r="B19" s="49" t="n"/>
      <c r="C19" s="50" t="str">
        <f>IF(tblContacts[[#This Row],[顧客ID]]="","",IFERROR(INDEX(tblCustomers[会社名],MATCH(tblContacts[[#This Row],[顧客ID]],tblCustomers[顧客ID],0))&amp;"","（未登録の顧客ID）"))</f>
        <v/>
      </c>
      <c r="D19" s="52" t="n"/>
      <c r="E19" s="51" t="n"/>
      <c r="F19" s="52" t="n"/>
      <c r="G19" s="49" t="n"/>
      <c r="H19" s="52" t="n"/>
      <c r="I19" s="58" t="n"/>
      <c r="J19" s="51" t="n"/>
      <c r="K19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19" s="61" t="str">
        <f>IFERROR(VALUE(MID(tblContacts[[#This Row],[担当者ID]],2,20)),"")</f>
        <v/>
      </c>
    </row>
    <row r="20">
      <c r="A20" s="49" t="n"/>
      <c r="B20" s="49" t="n"/>
      <c r="C20" s="50" t="str">
        <f>IF(tblContacts[[#This Row],[顧客ID]]="","",IFERROR(INDEX(tblCustomers[会社名],MATCH(tblContacts[[#This Row],[顧客ID]],tblCustomers[顧客ID],0))&amp;"","（未登録の顧客ID）"))</f>
        <v/>
      </c>
      <c r="D20" s="52" t="n"/>
      <c r="E20" s="51" t="n"/>
      <c r="F20" s="52" t="n"/>
      <c r="G20" s="49" t="n"/>
      <c r="H20" s="52" t="n"/>
      <c r="I20" s="58" t="n"/>
      <c r="J20" s="51" t="n"/>
      <c r="K20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0" s="61" t="str">
        <f>IFERROR(VALUE(MID(tblContacts[[#This Row],[担当者ID]],2,20)),"")</f>
        <v/>
      </c>
    </row>
    <row r="21">
      <c r="A21" s="49" t="n"/>
      <c r="B21" s="49" t="n"/>
      <c r="C21" s="50" t="str">
        <f>IF(tblContacts[[#This Row],[顧客ID]]="","",IFERROR(INDEX(tblCustomers[会社名],MATCH(tblContacts[[#This Row],[顧客ID]],tblCustomers[顧客ID],0))&amp;"","（未登録の顧客ID）"))</f>
        <v/>
      </c>
      <c r="D21" s="52" t="n"/>
      <c r="E21" s="51" t="n"/>
      <c r="F21" s="52" t="n"/>
      <c r="G21" s="49" t="n"/>
      <c r="H21" s="52" t="n"/>
      <c r="I21" s="58" t="n"/>
      <c r="J21" s="51" t="n"/>
      <c r="K21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1" s="61" t="str">
        <f>IFERROR(VALUE(MID(tblContacts[[#This Row],[担当者ID]],2,20)),"")</f>
        <v/>
      </c>
    </row>
    <row r="22">
      <c r="A22" s="49" t="n"/>
      <c r="B22" s="49" t="n"/>
      <c r="C22" s="50" t="str">
        <f>IF(tblContacts[[#This Row],[顧客ID]]="","",IFERROR(INDEX(tblCustomers[会社名],MATCH(tblContacts[[#This Row],[顧客ID]],tblCustomers[顧客ID],0))&amp;"","（未登録の顧客ID）"))</f>
        <v/>
      </c>
      <c r="D22" s="52" t="n"/>
      <c r="E22" s="51" t="n"/>
      <c r="F22" s="52" t="n"/>
      <c r="G22" s="49" t="n"/>
      <c r="H22" s="52" t="n"/>
      <c r="I22" s="58" t="n"/>
      <c r="J22" s="51" t="n"/>
      <c r="K22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2" s="61" t="str">
        <f>IFERROR(VALUE(MID(tblContacts[[#This Row],[担当者ID]],2,20)),"")</f>
        <v/>
      </c>
    </row>
    <row r="23">
      <c r="A23" s="49" t="n"/>
      <c r="B23" s="49" t="n"/>
      <c r="C23" s="50" t="str">
        <f>IF(tblContacts[[#This Row],[顧客ID]]="","",IFERROR(INDEX(tblCustomers[会社名],MATCH(tblContacts[[#This Row],[顧客ID]],tblCustomers[顧客ID],0))&amp;"","（未登録の顧客ID）"))</f>
        <v/>
      </c>
      <c r="D23" s="52" t="n"/>
      <c r="E23" s="51" t="n"/>
      <c r="F23" s="52" t="n"/>
      <c r="G23" s="49" t="n"/>
      <c r="H23" s="52" t="n"/>
      <c r="I23" s="58" t="n"/>
      <c r="J23" s="51" t="n"/>
      <c r="K23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3" s="61" t="str">
        <f>IFERROR(VALUE(MID(tblContacts[[#This Row],[担当者ID]],2,20)),"")</f>
        <v/>
      </c>
    </row>
    <row r="24">
      <c r="A24" s="49" t="n"/>
      <c r="B24" s="49" t="n"/>
      <c r="C24" s="50" t="str">
        <f>IF(tblContacts[[#This Row],[顧客ID]]="","",IFERROR(INDEX(tblCustomers[会社名],MATCH(tblContacts[[#This Row],[顧客ID]],tblCustomers[顧客ID],0))&amp;"","（未登録の顧客ID）"))</f>
        <v/>
      </c>
      <c r="D24" s="52" t="n"/>
      <c r="E24" s="51" t="n"/>
      <c r="F24" s="52" t="n"/>
      <c r="G24" s="49" t="n"/>
      <c r="H24" s="52" t="n"/>
      <c r="I24" s="58" t="n"/>
      <c r="J24" s="51" t="n"/>
      <c r="K24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4" s="61" t="str">
        <f>IFERROR(VALUE(MID(tblContacts[[#This Row],[担当者ID]],2,20)),"")</f>
        <v/>
      </c>
    </row>
    <row r="25">
      <c r="A25" s="49" t="n"/>
      <c r="B25" s="49" t="n"/>
      <c r="C25" s="50" t="str">
        <f>IF(tblContacts[[#This Row],[顧客ID]]="","",IFERROR(INDEX(tblCustomers[会社名],MATCH(tblContacts[[#This Row],[顧客ID]],tblCustomers[顧客ID],0))&amp;"","（未登録の顧客ID）"))</f>
        <v/>
      </c>
      <c r="D25" s="52" t="n"/>
      <c r="E25" s="51" t="n"/>
      <c r="F25" s="52" t="n"/>
      <c r="G25" s="49" t="n"/>
      <c r="H25" s="52" t="n"/>
      <c r="I25" s="58" t="n"/>
      <c r="J25" s="51" t="n"/>
      <c r="K25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5" s="61" t="str">
        <f>IFERROR(VALUE(MID(tblContacts[[#This Row],[担当者ID]],2,20)),"")</f>
        <v/>
      </c>
    </row>
    <row r="26">
      <c r="A26" s="49" t="n"/>
      <c r="B26" s="49" t="n"/>
      <c r="C26" s="50" t="str">
        <f>IF(tblContacts[[#This Row],[顧客ID]]="","",IFERROR(INDEX(tblCustomers[会社名],MATCH(tblContacts[[#This Row],[顧客ID]],tblCustomers[顧客ID],0))&amp;"","（未登録の顧客ID）"))</f>
        <v/>
      </c>
      <c r="D26" s="52" t="n"/>
      <c r="E26" s="51" t="n"/>
      <c r="F26" s="52" t="n"/>
      <c r="G26" s="49" t="n"/>
      <c r="H26" s="52" t="n"/>
      <c r="I26" s="58" t="n"/>
      <c r="J26" s="51" t="n"/>
      <c r="K26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6" s="61" t="str">
        <f>IFERROR(VALUE(MID(tblContacts[[#This Row],[担当者ID]],2,20)),"")</f>
        <v/>
      </c>
    </row>
    <row r="27">
      <c r="A27" s="49" t="n"/>
      <c r="B27" s="49" t="n"/>
      <c r="C27" s="50" t="str">
        <f>IF(tblContacts[[#This Row],[顧客ID]]="","",IFERROR(INDEX(tblCustomers[会社名],MATCH(tblContacts[[#This Row],[顧客ID]],tblCustomers[顧客ID],0))&amp;"","（未登録の顧客ID）"))</f>
        <v/>
      </c>
      <c r="D27" s="52" t="n"/>
      <c r="E27" s="51" t="n"/>
      <c r="F27" s="52" t="n"/>
      <c r="G27" s="49" t="n"/>
      <c r="H27" s="52" t="n"/>
      <c r="I27" s="58" t="n"/>
      <c r="J27" s="51" t="n"/>
      <c r="K27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7" s="61" t="str">
        <f>IFERROR(VALUE(MID(tblContacts[[#This Row],[担当者ID]],2,20)),"")</f>
        <v/>
      </c>
    </row>
    <row r="28">
      <c r="A28" s="49" t="n"/>
      <c r="B28" s="49" t="n"/>
      <c r="C28" s="50" t="str">
        <f>IF(tblContacts[[#This Row],[顧客ID]]="","",IFERROR(INDEX(tblCustomers[会社名],MATCH(tblContacts[[#This Row],[顧客ID]],tblCustomers[顧客ID],0))&amp;"","（未登録の顧客ID）"))</f>
        <v/>
      </c>
      <c r="D28" s="52" t="n"/>
      <c r="E28" s="51" t="n"/>
      <c r="F28" s="52" t="n"/>
      <c r="G28" s="49" t="n"/>
      <c r="H28" s="52" t="n"/>
      <c r="I28" s="58" t="n"/>
      <c r="J28" s="51" t="n"/>
      <c r="K28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8" s="61" t="str">
        <f>IFERROR(VALUE(MID(tblContacts[[#This Row],[担当者ID]],2,20)),"")</f>
        <v/>
      </c>
    </row>
    <row r="29">
      <c r="A29" s="49" t="n"/>
      <c r="B29" s="49" t="n"/>
      <c r="C29" s="50" t="str">
        <f>IF(tblContacts[[#This Row],[顧客ID]]="","",IFERROR(INDEX(tblCustomers[会社名],MATCH(tblContacts[[#This Row],[顧客ID]],tblCustomers[顧客ID],0))&amp;"","（未登録の顧客ID）"))</f>
        <v/>
      </c>
      <c r="D29" s="52" t="n"/>
      <c r="E29" s="51" t="n"/>
      <c r="F29" s="52" t="n"/>
      <c r="G29" s="49" t="n"/>
      <c r="H29" s="52" t="n"/>
      <c r="I29" s="58" t="n"/>
      <c r="J29" s="51" t="n"/>
      <c r="K29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29" s="61" t="str">
        <f>IFERROR(VALUE(MID(tblContacts[[#This Row],[担当者ID]],2,20)),"")</f>
        <v/>
      </c>
    </row>
    <row r="30">
      <c r="A30" s="49" t="n"/>
      <c r="B30" s="49" t="n"/>
      <c r="C30" s="50" t="str">
        <f>IF(tblContacts[[#This Row],[顧客ID]]="","",IFERROR(INDEX(tblCustomers[会社名],MATCH(tblContacts[[#This Row],[顧客ID]],tblCustomers[顧客ID],0))&amp;"","（未登録の顧客ID）"))</f>
        <v/>
      </c>
      <c r="D30" s="52" t="n"/>
      <c r="E30" s="51" t="n"/>
      <c r="F30" s="52" t="n"/>
      <c r="G30" s="49" t="n"/>
      <c r="H30" s="52" t="n"/>
      <c r="I30" s="58" t="n"/>
      <c r="J30" s="51" t="n"/>
      <c r="K30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30" s="61" t="str">
        <f>IFERROR(VALUE(MID(tblContacts[[#This Row],[担当者ID]],2,20)),"")</f>
        <v/>
      </c>
    </row>
    <row r="31">
      <c r="A31" s="49" t="n"/>
      <c r="B31" s="49" t="n"/>
      <c r="C31" s="50" t="str">
        <f>IF(tblContacts[[#This Row],[顧客ID]]="","",IFERROR(INDEX(tblCustomers[会社名],MATCH(tblContacts[[#This Row],[顧客ID]],tblCustomers[顧客ID],0))&amp;"","（未登録の顧客ID）"))</f>
        <v/>
      </c>
      <c r="D31" s="52" t="n"/>
      <c r="E31" s="51" t="n"/>
      <c r="F31" s="52" t="n"/>
      <c r="G31" s="49" t="n"/>
      <c r="H31" s="52" t="n"/>
      <c r="I31" s="58" t="n"/>
      <c r="J31" s="51" t="n"/>
      <c r="K31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31" s="61" t="str">
        <f>IFERROR(VALUE(MID(tblContacts[[#This Row],[担当者ID]],2,20)),"")</f>
        <v/>
      </c>
    </row>
    <row r="32">
      <c r="A32" s="49" t="n"/>
      <c r="B32" s="49" t="n"/>
      <c r="C32" s="50" t="str">
        <f>IF(tblContacts[[#This Row],[顧客ID]]="","",IFERROR(INDEX(tblCustomers[会社名],MATCH(tblContacts[[#This Row],[顧客ID]],tblCustomers[顧客ID],0))&amp;"","（未登録の顧客ID）"))</f>
        <v/>
      </c>
      <c r="D32" s="52" t="n"/>
      <c r="E32" s="51" t="n"/>
      <c r="F32" s="52" t="n"/>
      <c r="G32" s="49" t="n"/>
      <c r="H32" s="52" t="n"/>
      <c r="I32" s="58" t="n"/>
      <c r="J32" s="51" t="n"/>
      <c r="K32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32" s="61" t="str">
        <f>IFERROR(VALUE(MID(tblContacts[[#This Row],[担当者ID]],2,20)),"")</f>
        <v/>
      </c>
    </row>
    <row r="33">
      <c r="A33" s="49" t="n"/>
      <c r="B33" s="49" t="n"/>
      <c r="C33" s="50" t="str">
        <f>IF(tblContacts[[#This Row],[顧客ID]]="","",IFERROR(INDEX(tblCustomers[会社名],MATCH(tblContacts[[#This Row],[顧客ID]],tblCustomers[顧客ID],0))&amp;"","（未登録の顧客ID）"))</f>
        <v/>
      </c>
      <c r="D33" s="52" t="n"/>
      <c r="E33" s="51" t="n"/>
      <c r="F33" s="52" t="n"/>
      <c r="G33" s="49" t="n"/>
      <c r="H33" s="52" t="n"/>
      <c r="I33" s="58" t="n"/>
      <c r="J33" s="51" t="n"/>
      <c r="K33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33" s="61" t="str">
        <f>IFERROR(VALUE(MID(tblContacts[[#This Row],[担当者ID]],2,20)),"")</f>
        <v/>
      </c>
    </row>
    <row r="34">
      <c r="A34" s="49" t="n"/>
      <c r="B34" s="49" t="n"/>
      <c r="C34" s="50" t="str">
        <f>IF(tblContacts[[#This Row],[顧客ID]]="","",IFERROR(INDEX(tblCustomers[会社名],MATCH(tblContacts[[#This Row],[顧客ID]],tblCustomers[顧客ID],0))&amp;"","（未登録の顧客ID）"))</f>
        <v/>
      </c>
      <c r="D34" s="52" t="n"/>
      <c r="E34" s="51" t="n"/>
      <c r="F34" s="52" t="n"/>
      <c r="G34" s="49" t="n"/>
      <c r="H34" s="52" t="n"/>
      <c r="I34" s="58" t="n"/>
      <c r="J34" s="51" t="n"/>
      <c r="K34" s="50" t="str">
        <f>IF(AND(tblContacts[[#This Row],[担当者ID]]="",tblContacts[[#This Row],[顧客ID]]="",tblContacts[[#This Row],[氏名]]=""),"",_xlfn.TEXTJOIN("／",TRUE,IF(tblContacts[[#This Row],[担当者ID]]="","担当者IDが空欄",IF(tblContacts[[#This Row],[ID番号]]="","担当者IDの形式（英字1字＋数字）","")),IF(AND(tblContacts[[#This Row],[担当者ID]]&lt;&gt;"",COUNTIF(tblContacts[担当者ID],tblContacts[[#This Row],[担当者ID]])&gt;1),"担当者IDが重複",""),IF(tblContacts[[#This Row],[顧客ID]]="","顧客IDが空欄",IF(COUNTIF(tblCustomers[顧客ID],tblContacts[[#This Row],[顧客ID]])=0,"未登録の顧客ID","")),IF(tblContacts[[#This Row],[氏名]]="","氏名が空欄","")))</f>
        <v/>
      </c>
      <c r="L34" s="61" t="str">
        <f>IFERROR(VALUE(MID(tblContacts[[#This Row],[担当者ID]],2,20)),"")</f>
        <v/>
      </c>
    </row>
  </sheetData>
  <conditionalFormatting sqref="K6:K2000">
    <cfRule type="expression" priority="1" dxfId="2" stopIfTrue="1">
      <formula>$K6&lt;&gt;""</formula>
    </cfRule>
  </conditionalFormatting>
  <dataValidations count="3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=dv_CustomerID</formula1>
    </dataValidation>
    <dataValidation sqref="I6:I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=dv_Contact</formula1>
    </dataValidation>
  </dataValidations>
  <hyperlinks>
    <hyperlink ref="K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AA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44" customWidth="1" min="4" max="4"/>
    <col width="2" customWidth="1" min="5" max="5"/>
    <col width="14" customWidth="1" min="6" max="6"/>
    <col width="7" customWidth="1" min="7" max="7"/>
    <col width="2" customWidth="1" min="8" max="8"/>
    <col width="13" customWidth="1" min="9" max="9"/>
    <col width="7" customWidth="1" min="10" max="10"/>
    <col width="2" customWidth="1" min="11" max="11"/>
    <col width="12" customWidth="1" min="12" max="12"/>
    <col width="2" customWidth="1" min="13" max="13"/>
    <col width="17" customWidth="1" min="14" max="14"/>
    <col width="2" customWidth="1" min="15" max="15"/>
    <col width="13" customWidth="1" min="16" max="16"/>
    <col width="2" customWidth="1" min="17" max="17"/>
    <col width="12" customWidth="1" min="18" max="18"/>
    <col width="9" customWidth="1" min="19" max="19"/>
    <col width="2" customWidth="1" min="20" max="20"/>
    <col width="13" customWidth="1" min="21" max="21"/>
    <col width="2" customWidth="1" min="22" max="22"/>
    <col width="10" customWidth="1" min="23" max="23"/>
    <col width="2" customWidth="1" min="24" max="24"/>
    <col width="9" customWidth="1" min="25" max="25"/>
    <col width="2" customWidth="1" min="26" max="26"/>
    <col width="13" customWidth="1" min="27" max="27"/>
  </cols>
  <sheetData>
    <row r="1" ht="30" customHeight="1">
      <c r="A1" s="1" t="inlineStr">
        <is>
          <t>設定：基準日・警告の閾値・候補一覧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36" t="inlineStr">
        <is>
          <t>← ホームへ</t>
        </is>
      </c>
    </row>
    <row r="2" ht="20" customHeight="1">
      <c r="A2" s="4" t="inlineStr">
        <is>
          <t>白い入力欄だけを変更します。候補一覧は上から詰めて入力してください（途中の空行は選択肢に出ません）。</t>
        </is>
      </c>
    </row>
    <row r="4" ht="34" customHeight="1">
      <c r="B4" s="66" t="inlineStr">
        <is>
          <t>基本設定</t>
        </is>
      </c>
      <c r="F4" s="67" t="inlineStr">
        <is>
          <t>営業段階</t>
        </is>
      </c>
      <c r="G4" s="67" t="inlineStr">
        <is>
          <t>区分</t>
        </is>
      </c>
      <c r="I4" s="67" t="inlineStr">
        <is>
          <t>追客状態</t>
        </is>
      </c>
      <c r="J4" s="67" t="inlineStr">
        <is>
          <t>区分</t>
        </is>
      </c>
      <c r="L4" s="67" t="inlineStr">
        <is>
          <t>自社担当者</t>
        </is>
      </c>
      <c r="N4" s="67" t="inlineStr">
        <is>
          <t>チャネル</t>
        </is>
      </c>
      <c r="P4" s="67" t="inlineStr">
        <is>
          <t>方向</t>
        </is>
      </c>
      <c r="R4" s="67" t="inlineStr">
        <is>
          <t>結果</t>
        </is>
      </c>
      <c r="S4" s="67" t="inlineStr">
        <is>
          <t>会話・返信に数える</t>
        </is>
      </c>
      <c r="U4" s="67" t="inlineStr">
        <is>
          <t>タスク区分（固定）</t>
        </is>
      </c>
      <c r="W4" s="67" t="inlineStr">
        <is>
          <t>タスク状態（固定）</t>
        </is>
      </c>
      <c r="Y4" s="67" t="inlineStr">
        <is>
          <t>連絡可否（固定）</t>
        </is>
      </c>
      <c r="AA4" s="68" t="inlineStr">
        <is>
          <t>ホームの担当者候補（自動）</t>
        </is>
      </c>
    </row>
    <row r="5" ht="34" customHeight="1">
      <c r="B5" s="69" t="inlineStr">
        <is>
          <t>確認基準日（空欄＝今日）</t>
        </is>
      </c>
      <c r="C5" s="70" t="n"/>
      <c r="D5" s="71" t="inlineStr">
        <is>
          <t>通常は空欄（今日の日付を使います）。過去・未来の日で確認したい時だけ日付を入力します。</t>
        </is>
      </c>
      <c r="F5" s="72" t="inlineStr">
        <is>
          <t>未接触</t>
        </is>
      </c>
      <c r="G5" s="72" t="inlineStr">
        <is>
          <t>進行</t>
        </is>
      </c>
      <c r="I5" s="72" t="inlineStr">
        <is>
          <t>対応中</t>
        </is>
      </c>
      <c r="J5" s="72" t="inlineStr">
        <is>
          <t>追客</t>
        </is>
      </c>
      <c r="L5" s="72" t="n"/>
      <c r="N5" s="72" t="inlineStr">
        <is>
          <t>電話</t>
        </is>
      </c>
      <c r="P5" s="72" t="inlineStr">
        <is>
          <t>送信・発信</t>
        </is>
      </c>
      <c r="R5" s="72" t="inlineStr">
        <is>
          <t>会話成立</t>
        </is>
      </c>
      <c r="S5" s="72" t="n">
        <v>1</v>
      </c>
      <c r="U5" s="72" t="inlineStr">
        <is>
          <t>顧客への連絡</t>
        </is>
      </c>
      <c r="W5" s="72" t="inlineStr">
        <is>
          <t>未着手</t>
        </is>
      </c>
      <c r="Y5" s="72" t="inlineStr">
        <is>
          <t>可</t>
        </is>
      </c>
      <c r="AA5" s="73" t="inlineStr">
        <is>
          <t>全員</t>
        </is>
      </c>
    </row>
    <row r="6" ht="34" customHeight="1">
      <c r="B6" s="69" t="inlineStr">
        <is>
          <t>使用中の基準日</t>
        </is>
      </c>
      <c r="C6" s="74">
        <f>IF(C5="",TODAY(),C5)</f>
        <v>46292.0</v>
      </c>
      <c r="D6" s="71" t="inlineStr">
        <is>
          <t>期限超過・本日対応・経過日数はこの日付で判定します。</t>
        </is>
      </c>
      <c r="F6" s="72" t="inlineStr">
        <is>
          <t>初回接点</t>
        </is>
      </c>
      <c r="G6" s="72" t="inlineStr">
        <is>
          <t>進行</t>
        </is>
      </c>
      <c r="I6" s="72" t="inlineStr">
        <is>
          <t>返信待ち</t>
        </is>
      </c>
      <c r="J6" s="72" t="inlineStr">
        <is>
          <t>追客</t>
        </is>
      </c>
      <c r="L6" s="72" t="n"/>
      <c r="N6" s="72" t="inlineStr">
        <is>
          <t>メール</t>
        </is>
      </c>
      <c r="P6" s="72" t="inlineStr">
        <is>
          <t>受信・着信</t>
        </is>
      </c>
      <c r="R6" s="72" t="inlineStr">
        <is>
          <t>返信受領</t>
        </is>
      </c>
      <c r="S6" s="72" t="n">
        <v>1</v>
      </c>
      <c r="U6" s="72" t="inlineStr">
        <is>
          <t>社内確認</t>
        </is>
      </c>
      <c r="W6" s="72" t="inlineStr">
        <is>
          <t>対応中</t>
        </is>
      </c>
      <c r="Y6" s="72" t="inlineStr">
        <is>
          <t>停止</t>
        </is>
      </c>
      <c r="AA6" s="73" t="str">
        <f>IF(L5="","",L5)</f>
        <v/>
      </c>
    </row>
    <row r="7" ht="34" customHeight="1">
      <c r="B7" s="69" t="inlineStr">
        <is>
          <t>基準日の種類</t>
        </is>
      </c>
      <c r="C7" s="75" t="str">
        <f>IF(C5="","今日（自動）","指定日（固定）")</f>
        <v>今日（自動）</v>
      </c>
      <c r="F7" s="72" t="inlineStr">
        <is>
          <t>ヒアリング</t>
        </is>
      </c>
      <c r="G7" s="72" t="inlineStr">
        <is>
          <t>進行</t>
        </is>
      </c>
      <c r="I7" s="72" t="inlineStr">
        <is>
          <t>検討時期待ち</t>
        </is>
      </c>
      <c r="J7" s="72" t="inlineStr">
        <is>
          <t>待機</t>
        </is>
      </c>
      <c r="L7" s="72" t="n"/>
      <c r="N7" s="72" t="inlineStr">
        <is>
          <t>面談（訪問）</t>
        </is>
      </c>
      <c r="P7" s="72" t="inlineStr">
        <is>
          <t>双方（面談等）</t>
        </is>
      </c>
      <c r="R7" s="72" t="inlineStr">
        <is>
          <t>面談実施</t>
        </is>
      </c>
      <c r="S7" s="72" t="n">
        <v>1</v>
      </c>
      <c r="U7" s="72" t="n"/>
      <c r="W7" s="72" t="inlineStr">
        <is>
          <t>完了</t>
        </is>
      </c>
      <c r="Y7" s="72" t="n"/>
      <c r="AA7" s="73" t="str">
        <f>IF(L6="","",L6)</f>
        <v/>
      </c>
    </row>
    <row r="8" ht="34" customHeight="1">
      <c r="B8" s="69" t="inlineStr">
        <is>
          <t>接点が空いている注意（日）</t>
        </is>
      </c>
      <c r="C8" s="76" t="n">
        <v>14</v>
      </c>
      <c r="D8" s="71" t="inlineStr">
        <is>
          <t>最新接点からこの日数以上たつと、案件の注意欄に「接点から◯日」と表示します。失注・見込みなしとは判定しません。</t>
        </is>
      </c>
      <c r="F8" s="72" t="inlineStr">
        <is>
          <t>提案・見積</t>
        </is>
      </c>
      <c r="G8" s="72" t="inlineStr">
        <is>
          <t>進行</t>
        </is>
      </c>
      <c r="I8" s="72" t="inlineStr">
        <is>
          <t>保留</t>
        </is>
      </c>
      <c r="J8" s="72" t="inlineStr">
        <is>
          <t>待機</t>
        </is>
      </c>
      <c r="L8" s="72" t="n"/>
      <c r="N8" s="72" t="inlineStr">
        <is>
          <t>オンライン面談</t>
        </is>
      </c>
      <c r="P8" s="72" t="n"/>
      <c r="R8" s="72" t="inlineStr">
        <is>
          <t>送信のみ</t>
        </is>
      </c>
      <c r="S8" s="72" t="n">
        <v>0</v>
      </c>
      <c r="U8" s="72" t="n"/>
      <c r="W8" s="72" t="inlineStr">
        <is>
          <t>取消</t>
        </is>
      </c>
      <c r="Y8" s="72" t="n"/>
      <c r="AA8" s="73" t="str">
        <f>IF(L7="","",L7)</f>
        <v/>
      </c>
    </row>
    <row r="9" ht="34" customHeight="1">
      <c r="B9" s="69" t="inlineStr">
        <is>
          <t>今後の予定として表示する日数</t>
        </is>
      </c>
      <c r="C9" s="76" t="n">
        <v>7</v>
      </c>
      <c r="D9" s="71" t="inlineStr">
        <is>
          <t>ホームの④「今後の予定」に、基準日の翌日からこの日数以内が期限のタスクを表示します。</t>
        </is>
      </c>
      <c r="F9" s="72" t="inlineStr">
        <is>
          <t>条件調整</t>
        </is>
      </c>
      <c r="G9" s="72" t="inlineStr">
        <is>
          <t>進行</t>
        </is>
      </c>
      <c r="I9" s="72" t="inlineStr">
        <is>
          <t>完了</t>
        </is>
      </c>
      <c r="J9" s="72" t="inlineStr">
        <is>
          <t>終了</t>
        </is>
      </c>
      <c r="L9" s="72" t="n"/>
      <c r="N9" s="72" t="inlineStr">
        <is>
          <t>問い合わせフォーム</t>
        </is>
      </c>
      <c r="P9" s="72" t="n"/>
      <c r="R9" s="72" t="inlineStr">
        <is>
          <t>不通・不在</t>
        </is>
      </c>
      <c r="S9" s="72" t="n">
        <v>0</v>
      </c>
      <c r="U9" s="72" t="n"/>
      <c r="W9" s="72" t="n"/>
      <c r="Y9" s="72" t="n"/>
      <c r="AA9" s="73" t="str">
        <f>IF(L8="","",L8)</f>
        <v/>
      </c>
    </row>
    <row r="10">
      <c r="F10" s="72" t="inlineStr">
        <is>
          <t>受注</t>
        </is>
      </c>
      <c r="G10" s="72" t="inlineStr">
        <is>
          <t>終了</t>
        </is>
      </c>
      <c r="I10" s="72" t="inlineStr">
        <is>
          <t>連絡停止</t>
        </is>
      </c>
      <c r="J10" s="72" t="inlineStr">
        <is>
          <t>停止</t>
        </is>
      </c>
      <c r="L10" s="72" t="n"/>
      <c r="N10" s="72" t="inlineStr">
        <is>
          <t>展示会</t>
        </is>
      </c>
      <c r="P10" s="72" t="n"/>
      <c r="R10" s="72" t="inlineStr">
        <is>
          <t>受付止まり</t>
        </is>
      </c>
      <c r="S10" s="72" t="n">
        <v>0</v>
      </c>
      <c r="U10" s="72" t="n"/>
      <c r="W10" s="72" t="n"/>
      <c r="Y10" s="72" t="n"/>
      <c r="AA10" s="73" t="str">
        <f>IF(L9="","",L9)</f>
        <v/>
      </c>
    </row>
    <row r="11">
      <c r="B11" s="66" t="inlineStr">
        <is>
          <t>運用メモ</t>
        </is>
      </c>
      <c r="F11" s="72" t="inlineStr">
        <is>
          <t>失注</t>
        </is>
      </c>
      <c r="G11" s="72" t="inlineStr">
        <is>
          <t>終了</t>
        </is>
      </c>
      <c r="I11" s="72" t="n"/>
      <c r="J11" s="72" t="n"/>
      <c r="L11" s="72" t="n"/>
      <c r="N11" s="72" t="inlineStr">
        <is>
          <t>その他</t>
        </is>
      </c>
      <c r="P11" s="72" t="n"/>
      <c r="R11" s="72" t="inlineStr">
        <is>
          <t>伝言のみ</t>
        </is>
      </c>
      <c r="S11" s="72" t="n">
        <v>0</v>
      </c>
      <c r="U11" s="72" t="n"/>
      <c r="W11" s="72" t="n"/>
      <c r="Y11" s="72" t="n"/>
      <c r="AA11" s="73" t="str">
        <f>IF(L10="","",L10)</f>
        <v/>
      </c>
    </row>
    <row r="12">
      <c r="B12" s="77" t="inlineStr">
        <is>
          <t>営業段階・追客状態の「区分」は集計に使います。名称を変える・追加する場合は区分も必ず選んでください。</t>
        </is>
      </c>
      <c r="F12" s="72" t="inlineStr">
        <is>
          <t>辞退</t>
        </is>
      </c>
      <c r="G12" s="72" t="inlineStr">
        <is>
          <t>終了</t>
        </is>
      </c>
      <c r="I12" s="72" t="n"/>
      <c r="J12" s="72" t="n"/>
      <c r="L12" s="72" t="n"/>
      <c r="N12" s="72" t="n"/>
      <c r="P12" s="72" t="n"/>
      <c r="R12" s="72" t="n"/>
      <c r="S12" s="72" t="n"/>
      <c r="U12" s="72" t="n"/>
      <c r="W12" s="72" t="n"/>
      <c r="Y12" s="72" t="n"/>
      <c r="AA12" s="73" t="str">
        <f>IF(L11="","",L11)</f>
        <v/>
      </c>
    </row>
    <row r="13">
      <c r="B13" s="77" t="inlineStr">
        <is>
          <t xml:space="preserve">  営業段階の区分：進行＝追客対象／終了＝受注・失注・辞退（追客一覧から外れます）</t>
        </is>
      </c>
      <c r="F13" s="72" t="n"/>
      <c r="G13" s="72" t="n"/>
      <c r="I13" s="72" t="n"/>
      <c r="J13" s="72" t="n"/>
      <c r="L13" s="72" t="n"/>
      <c r="N13" s="72" t="n"/>
      <c r="P13" s="72" t="n"/>
      <c r="R13" s="72" t="n"/>
      <c r="S13" s="72" t="n"/>
      <c r="U13" s="72" t="n"/>
      <c r="W13" s="72" t="n"/>
      <c r="Y13" s="72" t="n"/>
      <c r="AA13" s="73" t="str">
        <f>IF(L12="","",L12)</f>
        <v/>
      </c>
    </row>
    <row r="14">
      <c r="B14" s="77" t="inlineStr">
        <is>
          <t xml:space="preserve">  追客状態の区分：追客＝対応中・返信待ち／待機＝検討時期待ち・保留／終了＝完了／停止＝連絡停止</t>
        </is>
      </c>
      <c r="F14" s="72" t="n"/>
      <c r="G14" s="72" t="n"/>
      <c r="I14" s="72" t="n"/>
      <c r="J14" s="72" t="n"/>
      <c r="L14" s="72" t="n"/>
      <c r="N14" s="72" t="n"/>
      <c r="P14" s="72" t="n"/>
      <c r="R14" s="72" t="n"/>
      <c r="S14" s="72" t="n"/>
      <c r="U14" s="72" t="n"/>
      <c r="W14" s="72" t="n"/>
      <c r="Y14" s="72" t="n"/>
      <c r="AA14" s="73" t="str">
        <f>IF(L13="","",L13)</f>
        <v/>
      </c>
    </row>
    <row r="15">
      <c r="B15" s="77" t="inlineStr">
        <is>
          <t>結果の「会話・返信に数える」が 1 の結果だけが「最終会話・返信」の日時になります（不通・送信のみは数えません）。</t>
        </is>
      </c>
      <c r="F15" s="72" t="n"/>
      <c r="G15" s="72" t="n"/>
      <c r="I15" s="72" t="n"/>
      <c r="J15" s="72" t="n"/>
      <c r="L15" s="72" t="n"/>
      <c r="N15" s="72" t="n"/>
      <c r="P15" s="72" t="n"/>
      <c r="R15" s="72" t="n"/>
      <c r="S15" s="72" t="n"/>
      <c r="U15" s="72" t="n"/>
      <c r="W15" s="72" t="n"/>
      <c r="Y15" s="72" t="n"/>
      <c r="AA15" s="73" t="str">
        <f>IF(L14="","",L14)</f>
        <v/>
      </c>
    </row>
    <row r="16">
      <c r="B16" s="77" t="inlineStr">
        <is>
          <t>タスク区分・タスク状態・連絡可否は計算式が名称を直接使うため、名称を変えないでください（固定）。</t>
        </is>
      </c>
      <c r="F16" s="72" t="n"/>
      <c r="G16" s="72" t="n"/>
      <c r="I16" s="72" t="n"/>
      <c r="J16" s="72" t="n"/>
      <c r="L16" s="72" t="n"/>
      <c r="N16" s="72" t="n"/>
      <c r="P16" s="72" t="n"/>
      <c r="R16" s="72" t="n"/>
      <c r="S16" s="72" t="n"/>
      <c r="U16" s="72" t="n"/>
      <c r="W16" s="72" t="n"/>
      <c r="Y16" s="72" t="n"/>
      <c r="AA16" s="73" t="str">
        <f>IF(L15="","",L15)</f>
        <v/>
      </c>
    </row>
    <row r="17">
      <c r="B17" s="77" t="inlineStr">
        <is>
          <t>自社担当者は上から詰めて入力します。ホームの担当者絞り込みにも自動で反映されます。</t>
        </is>
      </c>
      <c r="F17" s="72" t="n"/>
      <c r="G17" s="72" t="n"/>
      <c r="I17" s="72" t="n"/>
      <c r="J17" s="72" t="n"/>
      <c r="L17" s="72" t="n"/>
      <c r="N17" s="72" t="n"/>
      <c r="P17" s="72" t="n"/>
      <c r="R17" s="72" t="n"/>
      <c r="S17" s="72" t="n"/>
      <c r="U17" s="72" t="n"/>
      <c r="W17" s="72" t="n"/>
      <c r="Y17" s="72" t="n"/>
      <c r="AA17" s="73" t="str">
        <f>IF(L16="","",L16)</f>
        <v/>
      </c>
    </row>
    <row r="18">
      <c r="F18" s="72" t="n"/>
      <c r="G18" s="72" t="n"/>
      <c r="I18" s="72" t="n"/>
      <c r="J18" s="72" t="n"/>
      <c r="L18" s="72" t="n"/>
      <c r="N18" s="72" t="n"/>
      <c r="P18" s="72" t="n"/>
      <c r="R18" s="72" t="n"/>
      <c r="S18" s="72" t="n"/>
      <c r="U18" s="72" t="n"/>
      <c r="W18" s="72" t="n"/>
      <c r="Y18" s="72" t="n"/>
      <c r="AA18" s="73" t="str">
        <f>IF(L17="","",L17)</f>
        <v/>
      </c>
    </row>
    <row r="19">
      <c r="F19" s="72" t="n"/>
      <c r="G19" s="72" t="n"/>
      <c r="I19" s="72" t="n"/>
      <c r="J19" s="72" t="n"/>
      <c r="L19" s="72" t="n"/>
      <c r="N19" s="72" t="n"/>
      <c r="P19" s="72" t="n"/>
      <c r="R19" s="72" t="n"/>
      <c r="S19" s="72" t="n"/>
      <c r="U19" s="72" t="n"/>
      <c r="W19" s="72" t="n"/>
      <c r="Y19" s="72" t="n"/>
      <c r="AA19" s="73" t="str">
        <f>IF(L18="","",L18)</f>
        <v/>
      </c>
    </row>
    <row r="20">
      <c r="F20" s="72" t="n"/>
      <c r="G20" s="72" t="n"/>
      <c r="I20" s="72" t="n"/>
      <c r="J20" s="72" t="n"/>
      <c r="L20" s="72" t="n"/>
      <c r="N20" s="72" t="n"/>
      <c r="P20" s="72" t="n"/>
      <c r="R20" s="72" t="n"/>
      <c r="S20" s="72" t="n"/>
      <c r="U20" s="72" t="n"/>
      <c r="W20" s="72" t="n"/>
      <c r="Y20" s="72" t="n"/>
      <c r="AA20" s="73" t="str">
        <f>IF(L19="","",L19)</f>
        <v/>
      </c>
    </row>
    <row r="21">
      <c r="F21" s="72" t="n"/>
      <c r="G21" s="72" t="n"/>
      <c r="I21" s="72" t="n"/>
      <c r="J21" s="72" t="n"/>
      <c r="L21" s="72" t="n"/>
      <c r="N21" s="72" t="n"/>
      <c r="P21" s="72" t="n"/>
      <c r="R21" s="72" t="n"/>
      <c r="S21" s="72" t="n"/>
      <c r="U21" s="72" t="n"/>
      <c r="W21" s="72" t="n"/>
      <c r="Y21" s="72" t="n"/>
      <c r="AA21" s="73" t="str">
        <f>IF(L20="","",L20)</f>
        <v/>
      </c>
    </row>
    <row r="22">
      <c r="F22" s="72" t="n"/>
      <c r="G22" s="72" t="n"/>
      <c r="I22" s="72" t="n"/>
      <c r="J22" s="72" t="n"/>
      <c r="L22" s="72" t="n"/>
      <c r="N22" s="72" t="n"/>
      <c r="P22" s="72" t="n"/>
      <c r="R22" s="72" t="n"/>
      <c r="S22" s="72" t="n"/>
      <c r="U22" s="72" t="n"/>
      <c r="W22" s="72" t="n"/>
      <c r="Y22" s="72" t="n"/>
      <c r="AA22" s="73" t="str">
        <f>IF(L21="","",L21)</f>
        <v/>
      </c>
    </row>
    <row r="23">
      <c r="F23" s="72" t="n"/>
      <c r="G23" s="72" t="n"/>
      <c r="I23" s="72" t="n"/>
      <c r="J23" s="72" t="n"/>
      <c r="L23" s="72" t="n"/>
      <c r="N23" s="72" t="n"/>
      <c r="P23" s="72" t="n"/>
      <c r="R23" s="72" t="n"/>
      <c r="S23" s="72" t="n"/>
      <c r="U23" s="72" t="n"/>
      <c r="W23" s="72" t="n"/>
      <c r="Y23" s="72" t="n"/>
      <c r="AA23" s="73" t="str">
        <f>IF(L22="","",L22)</f>
        <v/>
      </c>
    </row>
    <row r="24">
      <c r="F24" s="72" t="n"/>
      <c r="G24" s="72" t="n"/>
      <c r="I24" s="72" t="n"/>
      <c r="J24" s="72" t="n"/>
      <c r="L24" s="72" t="n"/>
      <c r="N24" s="72" t="n"/>
      <c r="P24" s="72" t="n"/>
      <c r="R24" s="72" t="n"/>
      <c r="S24" s="72" t="n"/>
      <c r="U24" s="72" t="n"/>
      <c r="W24" s="72" t="n"/>
      <c r="Y24" s="72" t="n"/>
      <c r="AA24" s="73" t="str">
        <f>IF(L23="","",L23)</f>
        <v/>
      </c>
    </row>
    <row r="25">
      <c r="AA25" s="73" t="str">
        <f>IF(L24="","",L24)</f>
        <v/>
      </c>
    </row>
  </sheetData>
  <dataValidations count="4">
    <dataValidation sqref="G5:G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"進行,終了"</formula1>
    </dataValidation>
    <dataValidation sqref="J5:J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"追客,待機,終了,停止"</formula1>
    </dataValidation>
    <dataValidation sqref="S5:S24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"1,0"</formula1>
    </dataValidation>
    <dataValidation sqref="C5" showDropDown="0" showInputMessage="1" showErrorMessage="1" allowBlank="1" errorTitle="日付を入力" error="日付（例 2026/10/05）を入力してください。" promptTitle="入力方法" prompt="空欄なら今日の日付を使います。" type="date" errorStyle="stop" operator="between">
      <formula1>36526</formula1>
      <formula2>73051</formula2>
    </dataValidation>
  </dataValidations>
  <hyperlinks>
    <hyperlink ref="AA1" location="'01_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6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使い方：顧客管理・追客CRM</t>
        </is>
      </c>
      <c r="B1" s="2" t="n"/>
      <c r="C1" s="2" t="n"/>
      <c r="D1" s="36" t="inlineStr">
        <is>
          <t>← ホームへ</t>
        </is>
      </c>
    </row>
    <row r="3" ht="24" customHeight="1">
      <c r="B3" s="78" t="inlineStr">
        <is>
          <t>このブックでできること</t>
        </is>
      </c>
    </row>
    <row r="4">
      <c r="B4" s="79" t="inlineStr">
        <is>
          <t>・会社（顧客マスター）と案件（案件一覧）を分けて、同じ会社の複数案件を混同せずに追えます。</t>
        </is>
      </c>
    </row>
    <row r="5">
      <c r="B5" s="79" t="inlineStr">
        <is>
          <t>・連絡履歴（実際に行った接点）と対応タスク（これから行うこと）から、案件ごとの「最新接点」「最終会話・返信」「次回対応・期限」を自動で表示します。</t>
        </is>
      </c>
    </row>
    <row r="6">
      <c r="B6" s="79" t="inlineStr">
        <is>
          <t>・ホームで、本日対応・期限超過・次回対応未設定・要確認のタスク・今後の予定を担当者別に確認できます。</t>
        </is>
      </c>
    </row>
    <row r="7">
      <c r="B7" s="79" t="inlineStr">
        <is>
          <t>・マクロなしの .xlsx です。Excel だけで動き、AI・プラグイン・外部サービスへのログインは不要です。</t>
        </is>
      </c>
    </row>
    <row r="8">
      <c r="B8" s="79" t="inlineStr">
        <is>
          <t>・メールの自動送信、他のブックとの自動同期、自動保存・自動採番は行いません（下の「できないこと」参照）。</t>
        </is>
      </c>
    </row>
    <row r="10" ht="24" customHeight="1">
      <c r="B10" s="78" t="inlineStr">
        <is>
          <t>最初にやること（開始手順）</t>
        </is>
      </c>
    </row>
    <row r="11">
      <c r="B11" s="79" t="inlineStr">
        <is>
          <t>1. 07_設定：自社担当者の名前を上から入力します。営業段階・追客状態の名称は必要なら変更します（区分も選ぶ）。</t>
        </is>
      </c>
    </row>
    <row r="12">
      <c r="B12" s="79" t="inlineStr">
        <is>
          <t>2. 07_設定：確認基準日は空欄のままにします（今日の日付で判定されます）。</t>
        </is>
      </c>
    </row>
    <row r="13">
      <c r="B13" s="79" t="inlineStr">
        <is>
          <t>3. 05_顧客マスター：1社1行で登録します。顧客IDは表の上の「次のID候補」を見て手入力します（例 C001）。</t>
        </is>
      </c>
    </row>
    <row r="14">
      <c r="B14" s="79" t="inlineStr">
        <is>
          <t>4. 06_担当者マスター：顧客側の担当者を登録し、顧客IDで会社とつなぎます。</t>
        </is>
      </c>
    </row>
    <row r="15">
      <c r="B15" s="79" t="inlineStr">
        <is>
          <t>5. 02_案件一覧：1案件1行で登録します。同じ会社でも案件が別なら行を分けます（案件IDは A0001 の形式）。</t>
        </is>
      </c>
    </row>
    <row r="16">
      <c r="B16" s="79" t="inlineStr">
        <is>
          <t>6. 03_連絡履歴・04_対応タスクを使い始め、01_ホームで結果を確認します。</t>
        </is>
      </c>
    </row>
    <row r="17">
      <c r="B17" s="79" t="inlineStr">
        <is>
          <t>※ 空欄テンプレートでは、表の1行目に入力すれば最初の1件が登録されます。表のすぐ下の行に続けて入力すると表が自動で広がります。</t>
        </is>
      </c>
    </row>
    <row r="19" ht="24" customHeight="1">
      <c r="B19" s="78" t="inlineStr">
        <is>
          <t>毎日の更新（担当者本人が、連絡のたびに）</t>
        </is>
      </c>
    </row>
    <row r="20">
      <c r="B20" s="79" t="inlineStr">
        <is>
          <t>・連絡・面談をしたら 03_連絡履歴 に1行追加します。不通・送信のみも記録します（「最終会話・返信」には数えられません）。</t>
        </is>
      </c>
    </row>
    <row r="21">
      <c r="B21" s="79" t="inlineStr">
        <is>
          <t>・予定は連絡履歴に書かず、04_対応タスク に「内容・期限日・担当者・状態」を入れます。</t>
        </is>
      </c>
    </row>
    <row r="22">
      <c r="B22" s="79" t="inlineStr">
        <is>
          <t>・対応が済んだらタスクの状態を「完了」にして完了日を入れます。履歴を記入しただけではタスクは完了になりません。</t>
        </is>
      </c>
    </row>
    <row r="23">
      <c r="B23" s="79" t="inlineStr">
        <is>
          <t>・案件の営業段階・追客状態が変わったら 02_案件一覧 を更新します（受注・失注・辞退・完了は追客一覧から外れます）。</t>
        </is>
      </c>
    </row>
    <row r="24">
      <c r="B24" s="79" t="inlineStr">
        <is>
          <t>・朝：01_ホームの①（期限超過・本日）を上から処理し、②で次回対応が未設定の案件にタスクを追加します。</t>
        </is>
      </c>
    </row>
    <row r="26" ht="24" customHeight="1">
      <c r="B26" s="78" t="inlineStr">
        <is>
          <t>週次の確認（営業責任者が、週1回）</t>
        </is>
      </c>
    </row>
    <row r="27">
      <c r="B27" s="79" t="inlineStr">
        <is>
          <t>・ホーム②：次回対応未設定の進行中案件をゼロにする（期限つきタスクを登録する）。</t>
        </is>
      </c>
    </row>
    <row r="28">
      <c r="B28" s="79" t="inlineStr">
        <is>
          <t>・ホーム③：期限未設定のタスクに期限を入れる／連絡停止中・終了案件に残ったタスクを取消または完了にする。</t>
        </is>
      </c>
    </row>
    <row r="29">
      <c r="B29" s="79" t="inlineStr">
        <is>
          <t>・検討時期待ち・保留：顧客と合意した連絡時期（案件一覧に記録）と、社内で見直す日（社内確認タスク）を分けて確認する。</t>
        </is>
      </c>
    </row>
    <row r="30">
      <c r="B30" s="79" t="inlineStr">
        <is>
          <t>・入力要確認の件数が0件か確認する（ホームのカード）。案件一覧の「接点から◯日」も見直す。</t>
        </is>
      </c>
    </row>
    <row r="31">
      <c r="B31" s="79" t="inlineStr">
        <is>
          <t>・見積を出した案件は、見積番号・版・提出日・見積額が案件一覧に入っているか確認する。</t>
        </is>
      </c>
    </row>
    <row r="33" ht="24" customHeight="1">
      <c r="B33" s="78" t="inlineStr">
        <is>
          <t>IDの付け方（重要）</t>
        </is>
      </c>
    </row>
    <row r="34">
      <c r="B34" s="79" t="inlineStr">
        <is>
          <t>・ID は「英字1文字＋数字」の固定値です（顧客 C001／担当者 P001／案件 A0001／履歴 H00001／タスク T00001）。</t>
        </is>
      </c>
    </row>
    <row r="35">
      <c r="B35" s="79" t="inlineStr">
        <is>
          <t>・各表の上の「次のID候補」を見て、値として手入力します。一度付けたIDは変更・再利用しません。</t>
        </is>
      </c>
    </row>
    <row r="36">
      <c r="B36" s="79" t="inlineStr">
        <is>
          <t>・行番号や並び順はIDになりません。並べ替えても、ID で履歴・タスクとの対応が保たれます。</t>
        </is>
      </c>
    </row>
    <row r="37">
      <c r="B37" s="79" t="inlineStr">
        <is>
          <t>・同じ日時の履歴が複数ある場合は、履歴IDの数字が大きい方を「最新」として扱います。</t>
        </is>
      </c>
    </row>
    <row r="39" ht="24" customHeight="1">
      <c r="B39" s="78" t="inlineStr">
        <is>
          <t>連絡停止の扱い</t>
        </is>
      </c>
    </row>
    <row r="40">
      <c r="B40" s="79" t="inlineStr">
        <is>
          <t>・顧客全体を止める：05_顧客マスターの連絡可否を「停止」にし、停止日と理由を入れます。</t>
        </is>
      </c>
    </row>
    <row r="41">
      <c r="B41" s="79" t="inlineStr">
        <is>
          <t>・特定の案件だけ止める：02_案件一覧の追客状態を「連絡停止」にします。</t>
        </is>
      </c>
    </row>
    <row r="42">
      <c r="B42" s="79" t="inlineStr">
        <is>
          <t>・停止中の「顧客への連絡」タスクは通常の一覧から外れ、ホーム③に「連絡停止中」として残ります（黙って消えません）。</t>
        </is>
      </c>
    </row>
    <row r="43">
      <c r="B43" s="79" t="inlineStr">
        <is>
          <t>・「社内確認」タスクは停止中でも通常どおり表示されます。</t>
        </is>
      </c>
    </row>
    <row r="45" ht="24" customHeight="1">
      <c r="B45" s="78" t="inlineStr">
        <is>
          <t>状態の意味</t>
        </is>
      </c>
    </row>
    <row r="46">
      <c r="B46" s="79" t="inlineStr">
        <is>
          <t>・営業段階：未接触／初回接点／ヒアリング／提案・見積／条件調整／受注／失注／辞退（受注・失注・辞退は区分「終了」）。</t>
        </is>
      </c>
    </row>
    <row r="47">
      <c r="B47" s="79" t="inlineStr">
        <is>
          <t>・追客状態：対応中／返信待ち（区分「追客」）、検討時期待ち／保留（区分「待機」）、完了（「終了」）、連絡停止（「停止」）。</t>
        </is>
      </c>
    </row>
    <row r="48">
      <c r="B48" s="79" t="inlineStr">
        <is>
          <t>・未返信が続いても自動で失注にはしません。判断は担当者が営業段階を変更して行います。</t>
        </is>
      </c>
    </row>
    <row r="49">
      <c r="B49" s="79" t="inlineStr">
        <is>
          <t>・最新接点＝基準日以前の実施日時の最大値。最終会話・返信＝そのうち結果が「会話成立・返信受領・面談実施」のもの。未来の日時は集計しません。</t>
        </is>
      </c>
    </row>
    <row r="50">
      <c r="B50" s="79" t="inlineStr">
        <is>
          <t>・次回対応＝未着手・対応中のタスクのうち期限が最も早いもの（同じ期限ならタスクIDの小さい方）。期限なしは次回対応に数えず「期限未設定」として別表示します。</t>
        </is>
      </c>
    </row>
    <row r="52" ht="24" customHeight="1">
      <c r="B52" s="78" t="inlineStr">
        <is>
          <t>行の追加・並べ替え・フィルター</t>
        </is>
      </c>
    </row>
    <row r="53">
      <c r="B53" s="79" t="inlineStr">
        <is>
          <t>・各表は Excel のテーブルです。最終行のすぐ下に入力すると表が広がり、計算列・入力規則が引き継がれます。</t>
        </is>
      </c>
    </row>
    <row r="54">
      <c r="B54" s="79" t="inlineStr">
        <is>
          <t>・見出しの▼でフィルター・並べ替えができます。並べ替えても計算結果は変わりません。</t>
        </is>
      </c>
    </row>
    <row r="55">
      <c r="B55" s="79" t="inlineStr">
        <is>
          <t>・自動計算（青灰色）と計算用（灰色見出し）の列は編集しないでください。消してしまった場合は、同じ列の上の行のセルをコピーして貼り付けます。</t>
        </is>
      </c>
    </row>
    <row r="56">
      <c r="B56" s="79" t="inlineStr">
        <is>
          <t>・入力規則・色分けは2,000行目まで設定しています。それを超える場合は FIELD_DEFINITIONS.md の拡張手順を参照してください。</t>
        </is>
      </c>
    </row>
    <row r="58" ht="24" customHeight="1">
      <c r="B58" s="78" t="inlineStr">
        <is>
          <t>他のブックとの連携（手作業）</t>
        </is>
      </c>
    </row>
    <row r="59">
      <c r="B59" s="79" t="inlineStr">
        <is>
          <t>・工程管理・見積書のブックとは自動では連動しません。案件ID・顧客ID の書式をそろえてあるので、手入力または値の貼り付けで転記します。</t>
        </is>
      </c>
    </row>
    <row r="60">
      <c r="B60" s="79" t="inlineStr">
        <is>
          <t>・見積を提出したら、見積書ブックの見積番号・版・提出日・合計を 02_案件一覧 に手入力します。</t>
        </is>
      </c>
    </row>
    <row r="61">
      <c r="B61" s="79" t="inlineStr">
        <is>
          <t>・受注したら、案件ID・顧客名・案件名・納期を工程管理ブックの 02_案件マスター に手入力します。</t>
        </is>
      </c>
    </row>
    <row r="63" ht="24" customHeight="1">
      <c r="B63" s="78" t="inlineStr">
        <is>
          <t>できないこと・注意</t>
        </is>
      </c>
    </row>
    <row r="64">
      <c r="B64" s="79" t="inlineStr">
        <is>
          <t>・メール・電話・通知の自動送信、外部カレンダー登録、自動保存、他ブックとの同期はありません。</t>
        </is>
      </c>
    </row>
    <row r="65">
      <c r="B65" s="79" t="inlineStr">
        <is>
          <t>・ID の自動採番はありません（次のID候補を見て手入力）。</t>
        </is>
      </c>
    </row>
    <row r="66">
      <c r="B66" s="79" t="inlineStr">
        <is>
          <t>・ホームはパスワードなしで保護しています（誤操作防止のため。情報を守る機能ではありません）。解除は［校閲］→［シート保護の解除］。</t>
        </is>
      </c>
    </row>
    <row r="67">
      <c r="B67" s="79" t="inlineStr">
        <is>
          <t>・対応環境：Microsoft 365 版 Excel（Windows／Mac）を想定。TEXTJOIN・MAXIFS・MINIFS を使うため Excel 2019 より前では動きません。Web 版・Google スプレッドシートでの動作は保証しません。</t>
        </is>
      </c>
    </row>
    <row r="68">
      <c r="B68" s="79" t="inlineStr">
        <is>
          <t>・この空欄版には架空データは入っていません。見本はサンプル版（01_CRM_SAMPLE）を参照してください。</t>
        </is>
      </c>
    </row>
  </sheetData>
  <hyperlinks>
    <hyperlink ref="D1" location="'01_ホーム'!A1" display="← ホーム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顧客管理・追客CRM</dc:title>
  <dc:subject>セコンドデスク 顧客管理・追客CRM v1.0 テンプレート</dc:subject>
  <dcterms:created xsi:type="dcterms:W3CDTF">2026-09-27T01:20:02Z</dcterms:created>
  <dcterms:modified xsi:type="dcterms:W3CDTF">2026-09-27T01:20:02Z</dcterms:modified>
  <cp:lastModifiedBy>セコンドデスク</cp:lastModifiedBy>
  <cp:keywords>セコンドデスク; v1.0; マクロなし</cp:keywords>
</cp:coreProperties>
</file>