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3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入力" sheetId="1" state="visible" r:id="rId1"/>
    <sheet name="02_見積書" sheetId="2" state="visible" r:id="rId2"/>
    <sheet name="03_顧客マスター" sheetId="3" state="visible" r:id="rId3"/>
    <sheet name="04_商品マスター" sheetId="4" state="visible" r:id="rId4"/>
    <sheet name="05_設定" sheetId="5" state="visible" r:id="rId5"/>
    <sheet name="06_発行控え手順" sheetId="6" state="visible" r:id="rId6"/>
    <sheet name="07_使い方" sheetId="7" state="visible" r:id="rId7"/>
  </sheets>
  <definedNames>
    <definedName name="Iss_Name">'05_設定'!$C$5</definedName>
    <definedName name="Iss_Zip">'05_設定'!$C$6</definedName>
    <definedName name="Iss_Addr1">'05_設定'!$C$7</definedName>
    <definedName name="Iss_Addr2">'05_設定'!$C$8</definedName>
    <definedName name="Iss_Tel">'05_設定'!$C$9</definedName>
    <definedName name="Iss_Mail">'05_設定'!$C$10</definedName>
    <definedName name="Iss_Staff">'05_設定'!$C$11</definedName>
    <definedName name="Iss_RegNo">'05_設定'!$C$12</definedName>
    <definedName name="TaxRate">'05_設定'!$C$15</definedName>
    <definedName name="RoundTax">'05_設定'!$C$16</definedName>
    <definedName name="RoundLine">'05_設定'!$C$17</definedName>
    <definedName name="ValidDays">'05_設定'!$C$18</definedName>
    <definedName name="DefaultPay">'05_設定'!$C$19</definedName>
    <definedName name="SampleMark">'05_設定'!$C$20</definedName>
    <definedName name="DocTitle">'05_設定'!$C$21</definedName>
    <definedName name="dv_Pay">'05_設定'!$F$5:INDEX('05_設定'!$F$5:$F$14,MAX(1,COUNTIF('05_設定'!$F$5:$F$14,"?*")))</definedName>
    <definedName name="dv_Unit">'05_設定'!$H$5:INDEX('05_設定'!$H$5:$H$24,MAX(1,COUNTIF('05_設定'!$H$5:$H$24,"?*")))</definedName>
    <definedName name="dv_Cust">'05_設定'!$J$5:INDEX('05_設定'!$J$5:$J$104,MAX(1,COUNTIF('05_設定'!$J$5:$J$104,"?*")))</definedName>
    <definedName name="dv_Item">'05_設定'!$L$5:INDEX('05_設定'!$L$5:$L$105,MAX(1,COUNTIF('05_設定'!$L$5:$L$105,"?*")))</definedName>
    <definedName name="Q_No">'01_入力'!$D$6</definedName>
    <definedName name="Q_Ver">'01_入力'!$D$7</definedName>
    <definedName name="Q_Date">'01_入力'!$D$8</definedName>
    <definedName name="Q_Valid">'01_入力'!$D$9</definedName>
    <definedName name="Q_Cust">'01_入力'!$D$10</definedName>
    <definedName name="Q_Attn">'01_入力'!$D$11</definedName>
    <definedName name="Q_Title">'01_入力'!$D$12</definedName>
    <definedName name="Q_CaseID">'01_入力'!$D$13</definedName>
    <definedName name="Q_Delivery">'01_入力'!$D$14</definedName>
    <definedName name="Q_Pay">'01_入力'!$D$15</definedName>
    <definedName name="Q_Note1">'01_入力'!$D$16</definedName>
    <definedName name="Q_Note2">'01_入力'!$D$17</definedName>
    <definedName name="Q_Note3">'01_入力'!$D$18</definedName>
    <definedName name="Q_CustID">'01_入力'!$O$10</definedName>
    <definedName name="Q_CustRow">'01_入力'!$P$10</definedName>
    <definedName name="Q_LineRows">'01_入力'!$R$21</definedName>
    <definedName name="Q_Sub">'01_入力'!$L$38</definedName>
    <definedName name="Q_Tax">'01_入力'!$L$39</definedName>
    <definedName name="Q_Total">'01_入力'!$L$40</definedName>
    <definedName name="QErr">'01_入力'!$R$60</definedName>
    <definedName name="QErrText">'01_入力'!$R$61</definedName>
    <definedName name="_xlnm.Print_Area" localSheetId="0">'01_入力'!$A$1:$M$40</definedName>
    <definedName name="_xlnm.Print_Area" localSheetId="1">'02_見積書'!$A$1:$H$44</definedName>
    <definedName name="_xlnm.Print_Titles" localSheetId="2">'03_顧客マスター'!$5:$5</definedName>
    <definedName name="_xlnm.Print_Area" localSheetId="2">'03_顧客マスター'!$A$1:$L$34</definedName>
    <definedName name="_xlnm.Print_Titles" localSheetId="3">'04_商品マスター'!$5:$5</definedName>
    <definedName name="_xlnm.Print_Area" localSheetId="3">'04_商品マスター'!$A$1:$I$54</definedName>
    <definedName name="_xlnm.Print_Area" localSheetId="4">'05_設定'!$A$1:$D$28</definedName>
    <definedName name="_xlnm.Print_Area" localSheetId="5">'06_発行控え手順'!$A$1:$L$30</definedName>
    <definedName name="_xlnm.Print_Titles" localSheetId="6">'07_使い方'!$1:$1</definedName>
    <definedName name="_xlnm.Print_Area" localSheetId="6">'07_使い方'!$A$1:$B$43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&quot;日&quot;"/>
    <numFmt numFmtId="165" formatCode="#,##0;[Red]-#,##0"/>
    <numFmt numFmtId="166" formatCode="yyyy/mm/dd"/>
    <numFmt numFmtId="167" formatCode="yyyy年m月d日"/>
    <numFmt numFmtId="168" formatCode="&quot;¥&quot;#,##0&quot;-&quot;"/>
  </numFmts>
  <fonts count="35">
    <font>
      <name val="游ゴシック"/>
      <sz val="11"/>
    </font>
    <font>
      <name val="游ゴシック"/>
      <sz val="11"/>
    </font>
    <font>
      <name val="游ゴシック"/>
      <b val="1"/>
      <color rgb="00FFFFFF"/>
      <sz val="16"/>
    </font>
    <font>
      <name val="游ゴシック"/>
      <b val="1"/>
      <color rgb="000A1B36"/>
      <sz val="10"/>
      <u val="single"/>
    </font>
    <font>
      <name val="游ゴシック"/>
      <color rgb="005B6678"/>
      <sz val="10"/>
    </font>
    <font>
      <name val="游ゴシック"/>
      <b val="1"/>
      <color rgb="000A1B36"/>
      <sz val="12"/>
    </font>
    <font>
      <name val="游ゴシック"/>
      <b val="1"/>
      <color rgb="001F2A3C"/>
      <sz val="10.5"/>
    </font>
    <font>
      <name val="游ゴシック"/>
      <b val="1"/>
      <color rgb="001F2A3C"/>
      <sz val="11"/>
    </font>
    <font>
      <name val="游ゴシック"/>
      <color rgb="005B6678"/>
      <sz val="9.5"/>
    </font>
    <font>
      <name val="游ゴシック"/>
      <b val="1"/>
      <color rgb="00FFFFFF"/>
      <sz val="9.5"/>
    </font>
    <font>
      <name val="游ゴシック"/>
      <color rgb="001F2A3C"/>
      <sz val="9.5"/>
    </font>
    <font>
      <name val="游ゴシック"/>
      <b val="1"/>
      <color rgb="005B6678"/>
      <sz val="9"/>
    </font>
    <font>
      <name val="游ゴシック"/>
      <color rgb="001F2A3C"/>
      <sz val="9"/>
    </font>
    <font>
      <name val="游ゴシック"/>
      <color rgb="007A5A00"/>
      <sz val="9"/>
    </font>
    <font>
      <name val="游ゴシック"/>
      <b val="1"/>
      <color rgb="005B6678"/>
      <sz val="9.5"/>
    </font>
    <font>
      <name val="游ゴシック"/>
      <b val="1"/>
      <color rgb="000A1B36"/>
      <sz val="11"/>
    </font>
    <font>
      <name val="游ゴシック"/>
      <b val="1"/>
      <color rgb="00FFFFFF"/>
      <sz val="10"/>
    </font>
    <font>
      <name val="游ゴシック"/>
      <color rgb="001F2A3C"/>
      <sz val="10"/>
    </font>
    <font>
      <name val="游ゴシック"/>
      <color rgb="005B6678"/>
      <sz val="9"/>
    </font>
    <font>
      <name val="游ゴシック"/>
      <b val="1"/>
      <color rgb="000A1B36"/>
      <sz val="10"/>
    </font>
    <font>
      <name val="游ゴシック"/>
      <b val="1"/>
      <color rgb="002F6BDB"/>
      <sz val="11"/>
      <u val="single"/>
    </font>
    <font>
      <name val="游ゴシック"/>
      <b val="1"/>
      <color rgb="000A1B36"/>
      <sz val="10.5"/>
    </font>
    <font>
      <name val="游ゴシック"/>
      <color rgb="00A12622"/>
      <sz val="9"/>
    </font>
    <font>
      <name val="游ゴシック"/>
      <b val="1"/>
      <color rgb="000A1B36"/>
      <sz val="22"/>
    </font>
    <font>
      <name val="游ゴシック"/>
      <b val="1"/>
      <color rgb="00A12622"/>
      <sz val="10"/>
    </font>
    <font>
      <name val="游ゴシック"/>
      <b val="1"/>
      <color rgb="001F2A3C"/>
      <sz val="14"/>
    </font>
    <font>
      <name val="游ゴシック"/>
      <b val="1"/>
      <color rgb="001F2A3C"/>
      <sz val="11.5"/>
    </font>
    <font>
      <name val="游ゴシック"/>
      <color rgb="001F2A3C"/>
      <sz val="10.5"/>
    </font>
    <font>
      <name val="游ゴシック"/>
      <color rgb="001F2A3C"/>
      <sz val="8.5"/>
    </font>
    <font>
      <name val="游ゴシック"/>
      <b val="1"/>
      <color rgb="00FFFFFF"/>
      <sz val="12"/>
    </font>
    <font>
      <name val="游ゴシック"/>
      <b val="1"/>
      <color rgb="000A1B36"/>
      <sz val="18"/>
    </font>
    <font>
      <name val="游ゴシック"/>
      <b val="1"/>
      <color rgb="000A1B36"/>
      <sz val="12.5"/>
    </font>
    <font>
      <name val="游ゴシック"/>
      <color rgb="005B6678"/>
      <sz val="8"/>
    </font>
    <font>
      <name val="游ゴシック"/>
      <b val="1"/>
      <color rgb="005B6678"/>
      <sz val="10"/>
    </font>
    <font>
      <name val="游ゴシック"/>
      <b val="1"/>
      <color rgb="00A12622"/>
      <sz val="10.5"/>
    </font>
  </fonts>
  <fills count="12">
    <fill>
      <patternFill/>
    </fill>
    <fill>
      <patternFill patternType="gray125"/>
    </fill>
    <fill>
      <patternFill patternType="solid">
        <fgColor rgb="000A1B36"/>
        <bgColor rgb="000A1B36"/>
      </patternFill>
    </fill>
    <fill>
      <patternFill patternType="solid">
        <fgColor rgb="00EFF3F9"/>
        <bgColor rgb="00EFF3F9"/>
      </patternFill>
    </fill>
    <fill>
      <patternFill patternType="solid">
        <fgColor rgb="004A5D7A"/>
        <bgColor rgb="004A5D7A"/>
      </patternFill>
    </fill>
    <fill>
      <patternFill patternType="solid">
        <fgColor rgb="00EEF2F8"/>
        <bgColor rgb="00EEF2F8"/>
      </patternFill>
    </fill>
    <fill>
      <patternFill patternType="solid">
        <fgColor rgb="00FFFFFF"/>
        <bgColor rgb="00FFFFFF"/>
      </patternFill>
    </fill>
    <fill>
      <patternFill patternType="solid">
        <fgColor rgb="00FFF4CC"/>
        <bgColor rgb="00FFF4CC"/>
      </patternFill>
    </fill>
    <fill>
      <patternFill patternType="solid">
        <fgColor rgb="008A94A6"/>
        <bgColor rgb="008A94A6"/>
      </patternFill>
    </fill>
    <fill>
      <patternFill patternType="solid">
        <fgColor rgb="00F4F5F7"/>
        <bgColor rgb="00F4F5F7"/>
      </patternFill>
    </fill>
    <fill>
      <patternFill patternType="solid">
        <fgColor rgb="00C9F45F"/>
        <bgColor rgb="00C9F45F"/>
      </patternFill>
    </fill>
    <fill>
      <patternFill patternType="solid">
        <fgColor rgb="00FDE2E1"/>
        <bgColor rgb="00FDE2E1"/>
      </patternFill>
    </fill>
  </fills>
  <borders count="27">
    <border>
      <left/>
      <right/>
      <top/>
      <bottom/>
      <diagonal/>
    </border>
    <border>
      <bottom style="medium">
        <color rgb="00C9F45F"/>
      </bottom>
    </border>
    <border>
      <left style="thin">
        <color rgb="00C5CFDD"/>
      </left>
      <right style="thin">
        <color rgb="00C5CFDD"/>
      </right>
      <top style="thin">
        <color rgb="00C5CFDD"/>
      </top>
      <bottom style="thin">
        <color rgb="00C5CFDD"/>
      </bottom>
    </border>
    <border>
      <left style="thin">
        <color rgb="00FFFFFF"/>
      </left>
      <right style="thin">
        <color rgb="00FFFFFF"/>
      </right>
    </border>
    <border>
      <left style="thin">
        <color rgb="00C5CFDD"/>
      </left>
      <top style="thin">
        <color rgb="00C5CFDD"/>
      </top>
      <bottom style="thin">
        <color rgb="00C5CFDD"/>
      </bottom>
    </border>
    <border>
      <top style="thin">
        <color rgb="00C5CFDD"/>
      </top>
      <bottom style="thin">
        <color rgb="00C5CFDD"/>
      </bottom>
    </border>
    <border>
      <right style="thin">
        <color rgb="00C5CFDD"/>
      </right>
      <top style="thin">
        <color rgb="00C5CFDD"/>
      </top>
      <bottom style="thin">
        <color rgb="00C5CFDD"/>
      </bottom>
    </border>
    <border>
      <bottom style="double">
        <color rgb="000A1B36"/>
      </bottom>
    </border>
    <border>
      <bottom style="thin">
        <color rgb="007A8699"/>
      </bottom>
    </border>
    <border>
      <bottom style="hair">
        <color rgb="00C5CFDD"/>
      </bottom>
    </border>
    <border>
      <left style="medium">
        <color rgb="000A1B36"/>
      </left>
      <top style="medium">
        <color rgb="000A1B36"/>
      </top>
      <bottom style="medium">
        <color rgb="000A1B36"/>
      </bottom>
    </border>
    <border>
      <top style="medium">
        <color rgb="000A1B36"/>
      </top>
      <bottom style="medium">
        <color rgb="000A1B36"/>
      </bottom>
    </border>
    <border>
      <right style="medium">
        <color rgb="000A1B36"/>
      </right>
      <top style="medium">
        <color rgb="000A1B36"/>
      </top>
      <bottom style="medium">
        <color rgb="000A1B36"/>
      </bottom>
    </border>
    <border>
      <left style="thin">
        <color rgb="007A8699"/>
      </left>
      <bottom style="hair">
        <color rgb="009AA5B5"/>
      </bottom>
    </border>
    <border>
      <left style="hair">
        <color rgb="00C5CFDD"/>
      </left>
      <bottom style="hair">
        <color rgb="009AA5B5"/>
      </bottom>
    </border>
    <border>
      <left style="hair">
        <color rgb="00C5CFDD"/>
      </left>
      <right style="thin">
        <color rgb="007A8699"/>
      </right>
      <bottom style="hair">
        <color rgb="009AA5B5"/>
      </bottom>
    </border>
    <border>
      <left style="thin">
        <color rgb="007A8699"/>
      </left>
      <bottom style="thin">
        <color rgb="007A8699"/>
      </bottom>
    </border>
    <border>
      <left style="hair">
        <color rgb="00C5CFDD"/>
      </left>
      <bottom style="thin">
        <color rgb="007A8699"/>
      </bottom>
    </border>
    <border>
      <left style="hair">
        <color rgb="00C5CFDD"/>
      </left>
      <right style="thin">
        <color rgb="007A8699"/>
      </right>
      <bottom style="thin">
        <color rgb="007A8699"/>
      </bottom>
    </border>
    <border>
      <top style="double">
        <color rgb="000A1B36"/>
      </top>
      <bottom style="thin">
        <color rgb="007A8699"/>
      </bottom>
    </border>
    <border>
      <left style="thin">
        <color rgb="007A8699"/>
      </left>
      <top style="thin">
        <color rgb="007A8699"/>
      </top>
    </border>
    <border>
      <top style="thin">
        <color rgb="007A8699"/>
      </top>
    </border>
    <border>
      <right style="thin">
        <color rgb="007A8699"/>
      </right>
      <top style="thin">
        <color rgb="007A8699"/>
      </top>
    </border>
    <border>
      <left style="thin">
        <color rgb="007A8699"/>
      </left>
    </border>
    <border/>
    <border>
      <right style="thin">
        <color rgb="007A8699"/>
      </right>
    </border>
    <border>
      <right style="thin">
        <color rgb="007A8699"/>
      </right>
      <bottom style="thin">
        <color rgb="007A8699"/>
      </bottom>
    </border>
  </borders>
  <cellStyleXfs count="1">
    <xf numFmtId="0" fontId="1" fillId="0" borderId="0"/>
  </cellStyleXfs>
  <cellXfs count="121">
    <xf numFmtId="0" fontId="0" fillId="0" borderId="0" pivotButton="0" quotePrefix="0" xfId="0"/>
    <xf numFmtId="0" fontId="2" fillId="2" borderId="0" applyAlignment="1" pivotButton="0" quotePrefix="0" xfId="0">
      <alignment vertical="center" indent="1"/>
    </xf>
    <xf numFmtId="0" fontId="0" fillId="2" borderId="0" pivotButton="0" quotePrefix="0" xfId="0"/>
    <xf numFmtId="0" fontId="19" fillId="10" borderId="0" applyAlignment="1" pivotButton="0" quotePrefix="0" xfId="0">
      <alignment horizontal="center" vertical="center"/>
    </xf>
    <xf numFmtId="0" fontId="15" fillId="0" borderId="0" applyAlignment="1" pivotButton="0" quotePrefix="0" xfId="0">
      <alignment vertical="center"/>
    </xf>
    <xf numFmtId="0" fontId="20" fillId="10" borderId="0" applyAlignment="1" pivotButton="0" quotePrefix="0" xfId="0">
      <alignment horizontal="center" vertical="center"/>
    </xf>
    <xf numFmtId="0" fontId="0" fillId="10" borderId="0" pivotButton="0" quotePrefix="0" xfId="0"/>
    <xf numFmtId="0" fontId="21" fillId="0" borderId="0" applyAlignment="1" pivotButton="0" quotePrefix="0" xfId="0">
      <alignment vertical="center" wrapText="1" indent="1"/>
    </xf>
    <xf numFmtId="0" fontId="11" fillId="0" borderId="0" applyAlignment="1" pivotButton="0" quotePrefix="0" xfId="0">
      <alignment horizontal="right" vertical="center"/>
    </xf>
    <xf numFmtId="0" fontId="12" fillId="6" borderId="2" applyAlignment="1" pivotButton="0" quotePrefix="0" xfId="0">
      <alignment horizontal="center" vertical="center"/>
    </xf>
    <xf numFmtId="0" fontId="0" fillId="6" borderId="2" pivotButton="0" quotePrefix="0" xfId="0"/>
    <xf numFmtId="0" fontId="12" fillId="5" borderId="2" applyAlignment="1" pivotButton="0" quotePrefix="0" xfId="0">
      <alignment horizontal="center" vertical="center"/>
    </xf>
    <xf numFmtId="0" fontId="0" fillId="5" borderId="2" pivotButton="0" quotePrefix="0" xfId="0"/>
    <xf numFmtId="0" fontId="13" fillId="7" borderId="2" applyAlignment="1" pivotButton="0" quotePrefix="0" xfId="0">
      <alignment horizontal="center" vertical="center"/>
    </xf>
    <xf numFmtId="0" fontId="22" fillId="11" borderId="2" applyAlignment="1" pivotButton="0" quotePrefix="0" xfId="0">
      <alignment horizontal="center" vertical="center"/>
    </xf>
    <xf numFmtId="0" fontId="0" fillId="11" borderId="2" pivotButton="0" quotePrefix="0" xfId="0"/>
    <xf numFmtId="0" fontId="5" fillId="0" borderId="1" pivotButton="0" quotePrefix="0" xfId="0"/>
    <xf numFmtId="0" fontId="6" fillId="3" borderId="0" applyAlignment="1" pivotButton="0" quotePrefix="0" xfId="0">
      <alignment vertical="center" indent="1"/>
    </xf>
    <xf numFmtId="49" fontId="7" fillId="0" borderId="4" applyAlignment="1" applyProtection="1" pivotButton="0" quotePrefix="0" xfId="0">
      <alignment vertical="center" wrapText="1"/>
      <protection locked="0" hidden="0"/>
    </xf>
    <xf numFmtId="0" fontId="0" fillId="0" borderId="5" applyProtection="1" pivotButton="0" quotePrefix="0" xfId="0">
      <protection locked="0" hidden="0"/>
    </xf>
    <xf numFmtId="0" fontId="0" fillId="0" borderId="6" applyProtection="1" pivotButton="0" quotePrefix="0" xfId="0">
      <protection locked="0" hidden="0"/>
    </xf>
    <xf numFmtId="0" fontId="17" fillId="5" borderId="0" applyAlignment="1" pivotButton="0" quotePrefix="0" xfId="0">
      <alignment vertical="center" wrapText="1" indent="1"/>
    </xf>
    <xf numFmtId="0" fontId="7" fillId="0" borderId="4" applyAlignment="1" applyProtection="1" pivotButton="0" quotePrefix="0" xfId="0">
      <alignment horizontal="left" vertical="center"/>
      <protection locked="0" hidden="0"/>
    </xf>
    <xf numFmtId="166" fontId="7" fillId="0" borderId="4" applyAlignment="1" applyProtection="1" pivotButton="0" quotePrefix="0" xfId="0">
      <alignment horizontal="left" vertical="center"/>
      <protection locked="0" hidden="0"/>
    </xf>
    <xf numFmtId="0" fontId="7" fillId="0" borderId="4" applyAlignment="1" applyProtection="1" pivotButton="0" quotePrefix="0" xfId="0">
      <alignment vertical="center" wrapText="1"/>
      <protection locked="0" hidden="0"/>
    </xf>
    <xf numFmtId="0" fontId="9" fillId="8" borderId="0" applyAlignment="1" pivotButton="0" quotePrefix="0" xfId="0">
      <alignment horizontal="center" vertical="center" wrapText="1"/>
    </xf>
    <xf numFmtId="0" fontId="9" fillId="2" borderId="0" applyAlignment="1" pivotButton="0" quotePrefix="0" xfId="0">
      <alignment horizontal="center" vertical="center" wrapText="1"/>
    </xf>
    <xf numFmtId="0" fontId="9" fillId="4" borderId="0" applyAlignment="1" pivotButton="0" quotePrefix="0" xfId="0">
      <alignment horizontal="center" vertical="center" wrapText="1"/>
    </xf>
    <xf numFmtId="0" fontId="18" fillId="9" borderId="0" applyAlignment="1" pivotButton="0" quotePrefix="0" xfId="0">
      <alignment horizontal="center" vertical="center"/>
    </xf>
    <xf numFmtId="0" fontId="17" fillId="0" borderId="2" applyAlignment="1" applyProtection="1" pivotButton="0" quotePrefix="0" xfId="0">
      <alignment horizontal="left" vertical="center" wrapText="1"/>
      <protection locked="0" hidden="0"/>
    </xf>
    <xf numFmtId="0" fontId="17" fillId="0" borderId="2" applyAlignment="1" applyProtection="1" pivotButton="0" quotePrefix="0" xfId="0">
      <alignment horizontal="right" vertical="center"/>
      <protection locked="0" hidden="0"/>
    </xf>
    <xf numFmtId="3" fontId="17" fillId="0" borderId="2" applyAlignment="1" applyProtection="1" pivotButton="0" quotePrefix="0" xfId="0">
      <alignment horizontal="right" vertical="center"/>
      <protection locked="0" hidden="0"/>
    </xf>
    <xf numFmtId="0" fontId="17" fillId="0" borderId="2" applyAlignment="1" applyProtection="1" pivotButton="0" quotePrefix="0" xfId="0">
      <alignment horizontal="center" vertical="center"/>
      <protection locked="0" hidden="0"/>
    </xf>
    <xf numFmtId="0" fontId="17" fillId="5" borderId="2" applyAlignment="1" pivotButton="0" quotePrefix="0" xfId="0">
      <alignment horizontal="left" vertical="center" wrapText="1"/>
    </xf>
    <xf numFmtId="0" fontId="17" fillId="5" borderId="2" applyAlignment="1" pivotButton="0" quotePrefix="0" xfId="0">
      <alignment horizontal="center" vertical="center"/>
    </xf>
    <xf numFmtId="3" fontId="17" fillId="5" borderId="2" applyAlignment="1" pivotButton="0" quotePrefix="0" xfId="0">
      <alignment horizontal="right" vertical="center"/>
    </xf>
    <xf numFmtId="0" fontId="18" fillId="0" borderId="0" pivotButton="0" quotePrefix="0" xfId="0"/>
    <xf numFmtId="0" fontId="18" fillId="0" borderId="0" applyAlignment="1" pivotButton="0" quotePrefix="0" xfId="0">
      <alignment vertical="top" wrapText="1"/>
    </xf>
    <xf numFmtId="0" fontId="6" fillId="3" borderId="0" applyAlignment="1" pivotButton="0" quotePrefix="0" xfId="0">
      <alignment horizontal="right" vertical="center"/>
    </xf>
    <xf numFmtId="3" fontId="15" fillId="5" borderId="2" applyAlignment="1" pivotButton="0" quotePrefix="0" xfId="0">
      <alignment horizontal="right" vertical="center"/>
    </xf>
    <xf numFmtId="3" fontId="5" fillId="5" borderId="2" applyAlignment="1" pivotButton="0" quotePrefix="0" xfId="0">
      <alignment horizontal="right" vertical="center"/>
    </xf>
    <xf numFmtId="0" fontId="23" fillId="0" borderId="7" applyAlignment="1" pivotButton="0" quotePrefix="0" xfId="0">
      <alignment horizontal="center" vertical="center"/>
    </xf>
    <xf numFmtId="0" fontId="0" fillId="0" borderId="7" pivotButton="0" quotePrefix="0" xfId="0"/>
    <xf numFmtId="0" fontId="24" fillId="0" borderId="0" applyAlignment="1" pivotButton="0" quotePrefix="0" xfId="0">
      <alignment horizontal="center" vertical="center"/>
    </xf>
    <xf numFmtId="0" fontId="25" fillId="0" borderId="0" applyAlignment="1" pivotButton="0" quotePrefix="0" xfId="0">
      <alignment vertical="bottom" wrapText="1"/>
    </xf>
    <xf numFmtId="0" fontId="14" fillId="0" borderId="0" applyAlignment="1" pivotButton="0" quotePrefix="0" xfId="0">
      <alignment horizontal="right" vertical="center"/>
    </xf>
    <xf numFmtId="0" fontId="6" fillId="0" borderId="8" applyAlignment="1" pivotButton="0" quotePrefix="0" xfId="0">
      <alignment horizontal="left" vertical="center" indent="1"/>
    </xf>
    <xf numFmtId="0" fontId="26" fillId="0" borderId="8" applyAlignment="1" pivotButton="0" quotePrefix="0" xfId="0">
      <alignment vertical="center" wrapText="1"/>
    </xf>
    <xf numFmtId="0" fontId="0" fillId="0" borderId="8" pivotButton="0" quotePrefix="0" xfId="0"/>
    <xf numFmtId="167" fontId="6" fillId="0" borderId="8" applyAlignment="1" pivotButton="0" quotePrefix="0" xfId="0">
      <alignment horizontal="left" vertical="center" indent="1"/>
    </xf>
    <xf numFmtId="0" fontId="27" fillId="0" borderId="0" applyAlignment="1" pivotButton="0" quotePrefix="0" xfId="0">
      <alignment vertical="center"/>
    </xf>
    <xf numFmtId="0" fontId="14" fillId="0" borderId="9" applyAlignment="1" pivotButton="0" quotePrefix="0" xfId="0">
      <alignment vertical="center"/>
    </xf>
    <xf numFmtId="0" fontId="6" fillId="0" borderId="9" applyAlignment="1" pivotButton="0" quotePrefix="0" xfId="0">
      <alignment vertical="center" wrapText="1"/>
    </xf>
    <xf numFmtId="0" fontId="0" fillId="0" borderId="9" pivotButton="0" quotePrefix="0" xfId="0"/>
    <xf numFmtId="0" fontId="7" fillId="0" borderId="0" applyAlignment="1" pivotButton="0" quotePrefix="0" xfId="0">
      <alignment vertical="center" wrapText="1"/>
    </xf>
    <xf numFmtId="0" fontId="27" fillId="0" borderId="9" applyAlignment="1" pivotButton="0" quotePrefix="0" xfId="0">
      <alignment vertical="center" wrapText="1"/>
    </xf>
    <xf numFmtId="0" fontId="12" fillId="0" borderId="0" applyAlignment="1" pivotButton="0" quotePrefix="0" xfId="0">
      <alignment vertical="center" wrapText="1"/>
    </xf>
    <xf numFmtId="0" fontId="28" fillId="0" borderId="0" applyAlignment="1" pivotButton="0" quotePrefix="0" xfId="0">
      <alignment vertical="center" wrapText="1"/>
    </xf>
    <xf numFmtId="0" fontId="29" fillId="2" borderId="10" applyAlignment="1" pivotButton="0" quotePrefix="0" xfId="0">
      <alignment horizontal="center" vertical="center"/>
    </xf>
    <xf numFmtId="0" fontId="0" fillId="2" borderId="11" pivotButton="0" quotePrefix="0" xfId="0"/>
    <xf numFmtId="168" fontId="30" fillId="0" borderId="11" applyAlignment="1" pivotButton="0" quotePrefix="0" xfId="0">
      <alignment horizontal="center" vertical="center"/>
    </xf>
    <xf numFmtId="0" fontId="0" fillId="0" borderId="11" pivotButton="0" quotePrefix="0" xfId="0"/>
    <xf numFmtId="0" fontId="0" fillId="0" borderId="12" pivotButton="0" quotePrefix="0" xfId="0"/>
    <xf numFmtId="0" fontId="16" fillId="2" borderId="0" applyAlignment="1" pivotButton="0" quotePrefix="0" xfId="0">
      <alignment horizontal="center" vertical="center"/>
    </xf>
    <xf numFmtId="0" fontId="17" fillId="0" borderId="13" applyAlignment="1" pivotButton="0" quotePrefix="0" xfId="0">
      <alignment horizontal="center" vertical="center"/>
    </xf>
    <xf numFmtId="0" fontId="17" fillId="0" borderId="14" applyAlignment="1" pivotButton="0" quotePrefix="0" xfId="0">
      <alignment horizontal="left" vertical="center" wrapText="1"/>
    </xf>
    <xf numFmtId="0" fontId="17" fillId="0" borderId="14" applyAlignment="1" pivotButton="0" quotePrefix="0" xfId="0">
      <alignment horizontal="right" vertical="center"/>
    </xf>
    <xf numFmtId="0" fontId="17" fillId="0" borderId="14" applyAlignment="1" pivotButton="0" quotePrefix="0" xfId="0">
      <alignment horizontal="center" vertical="center"/>
    </xf>
    <xf numFmtId="165" fontId="17" fillId="0" borderId="15" applyAlignment="1" pivotButton="0" quotePrefix="0" xfId="0">
      <alignment horizontal="right" vertical="center"/>
    </xf>
    <xf numFmtId="0" fontId="17" fillId="0" borderId="16" applyAlignment="1" pivotButton="0" quotePrefix="0" xfId="0">
      <alignment horizontal="center" vertical="center"/>
    </xf>
    <xf numFmtId="0" fontId="17" fillId="0" borderId="17" applyAlignment="1" pivotButton="0" quotePrefix="0" xfId="0">
      <alignment horizontal="left" vertical="center" wrapText="1"/>
    </xf>
    <xf numFmtId="0" fontId="17" fillId="0" borderId="17" applyAlignment="1" pivotButton="0" quotePrefix="0" xfId="0">
      <alignment horizontal="right" vertical="center"/>
    </xf>
    <xf numFmtId="0" fontId="17" fillId="0" borderId="17" applyAlignment="1" pivotButton="0" quotePrefix="0" xfId="0">
      <alignment horizontal="center" vertical="center"/>
    </xf>
    <xf numFmtId="165" fontId="17" fillId="0" borderId="18" applyAlignment="1" pivotButton="0" quotePrefix="0" xfId="0">
      <alignment horizontal="right" vertical="center"/>
    </xf>
    <xf numFmtId="0" fontId="27" fillId="3" borderId="0" applyAlignment="1" pivotButton="0" quotePrefix="0" xfId="0">
      <alignment horizontal="right" vertical="center" indent="1"/>
    </xf>
    <xf numFmtId="0" fontId="0" fillId="3" borderId="0" pivotButton="0" quotePrefix="0" xfId="0"/>
    <xf numFmtId="3" fontId="15" fillId="0" borderId="8" applyAlignment="1" pivotButton="0" quotePrefix="0" xfId="0">
      <alignment horizontal="right" vertical="center"/>
    </xf>
    <xf numFmtId="0" fontId="6" fillId="3" borderId="0" applyAlignment="1" pivotButton="0" quotePrefix="0" xfId="0">
      <alignment horizontal="right" vertical="center" indent="1"/>
    </xf>
    <xf numFmtId="3" fontId="31" fillId="0" borderId="19" applyAlignment="1" pivotButton="0" quotePrefix="0" xfId="0">
      <alignment horizontal="right" vertical="center"/>
    </xf>
    <xf numFmtId="0" fontId="19" fillId="0" borderId="0" pivotButton="0" quotePrefix="0" xfId="0"/>
    <xf numFmtId="0" fontId="10" fillId="0" borderId="20" applyAlignment="1" pivotButton="0" quotePrefix="0" xfId="0">
      <alignment vertical="top" wrapText="1"/>
    </xf>
    <xf numFmtId="0" fontId="0" fillId="0" borderId="21" pivotButton="0" quotePrefix="0" xfId="0"/>
    <xf numFmtId="0" fontId="0" fillId="0" borderId="22" pivotButton="0" quotePrefix="0" xfId="0"/>
    <xf numFmtId="0" fontId="0" fillId="0" borderId="23" pivotButton="0" quotePrefix="0" xfId="0"/>
    <xf numFmtId="0" fontId="0" fillId="0" borderId="24" pivotButton="0" quotePrefix="0" xfId="0"/>
    <xf numFmtId="0" fontId="0" fillId="0" borderId="25" pivotButton="0" quotePrefix="0" xfId="0"/>
    <xf numFmtId="0" fontId="0" fillId="0" borderId="16" pivotButton="0" quotePrefix="0" xfId="0"/>
    <xf numFmtId="0" fontId="0" fillId="0" borderId="26" pivotButton="0" quotePrefix="0" xfId="0"/>
    <xf numFmtId="0" fontId="32" fillId="0" borderId="0" applyAlignment="1" pivotButton="0" quotePrefix="0" xfId="0">
      <alignment vertical="center"/>
    </xf>
    <xf numFmtId="0" fontId="3" fillId="3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 indent="1"/>
    </xf>
    <xf numFmtId="0" fontId="12" fillId="6" borderId="2" applyAlignment="1" pivotButton="0" quotePrefix="0" xfId="0">
      <alignment horizontal="center" vertical="center"/>
    </xf>
    <xf numFmtId="0" fontId="12" fillId="5" borderId="2" applyAlignment="1" pivotButton="0" quotePrefix="0" xfId="0">
      <alignment horizontal="center" vertical="center"/>
    </xf>
    <xf numFmtId="0" fontId="13" fillId="7" borderId="2" applyAlignment="1" pivotButton="0" quotePrefix="0" xfId="0">
      <alignment horizontal="center" vertical="center"/>
    </xf>
    <xf numFmtId="0" fontId="15" fillId="5" borderId="2" applyAlignment="1" pivotButton="0" quotePrefix="0" xfId="0">
      <alignment horizontal="center" vertical="center"/>
    </xf>
    <xf numFmtId="0" fontId="16" fillId="2" borderId="3" applyAlignment="1" pivotButton="0" quotePrefix="0" xfId="0">
      <alignment horizontal="center" vertical="center" wrapText="1"/>
    </xf>
    <xf numFmtId="0" fontId="16" fillId="4" borderId="3" applyAlignment="1" pivotButton="0" quotePrefix="0" xfId="0">
      <alignment horizontal="center" vertical="center" wrapText="1"/>
    </xf>
    <xf numFmtId="0" fontId="16" fillId="8" borderId="3" applyAlignment="1" pivotButton="0" quotePrefix="0" xfId="0">
      <alignment horizontal="center" vertical="center" wrapText="1"/>
    </xf>
    <xf numFmtId="49" fontId="17" fillId="0" borderId="2" applyAlignment="1" pivotButton="0" quotePrefix="0" xfId="0">
      <alignment horizontal="left" vertical="top"/>
    </xf>
    <xf numFmtId="0" fontId="17" fillId="0" borderId="2" applyAlignment="1" pivotButton="0" quotePrefix="0" xfId="0">
      <alignment horizontal="left" vertical="top" wrapText="1"/>
    </xf>
    <xf numFmtId="0" fontId="17" fillId="0" borderId="2" applyAlignment="1" pivotButton="0" quotePrefix="0" xfId="0">
      <alignment horizontal="left" vertical="top"/>
    </xf>
    <xf numFmtId="0" fontId="17" fillId="0" borderId="2" applyAlignment="1" pivotButton="0" quotePrefix="0" xfId="0">
      <alignment horizontal="center" vertical="top"/>
    </xf>
    <xf numFmtId="0" fontId="17" fillId="5" borderId="2" applyAlignment="1" pivotButton="0" quotePrefix="0" xfId="0">
      <alignment horizontal="left" vertical="top"/>
    </xf>
    <xf numFmtId="0" fontId="17" fillId="5" borderId="2" applyAlignment="1" pivotButton="0" quotePrefix="0" xfId="0">
      <alignment horizontal="left" vertical="top" wrapText="1"/>
    </xf>
    <xf numFmtId="0" fontId="18" fillId="9" borderId="2" applyAlignment="1" pivotButton="0" quotePrefix="0" xfId="0">
      <alignment horizontal="left" vertical="top"/>
    </xf>
    <xf numFmtId="165" fontId="17" fillId="0" borderId="2" applyAlignment="1" pivotButton="0" quotePrefix="0" xfId="0">
      <alignment horizontal="left" vertical="top"/>
    </xf>
    <xf numFmtId="0" fontId="6" fillId="0" borderId="0" applyAlignment="1" pivotButton="0" quotePrefix="0" xfId="0">
      <alignment vertical="center" wrapText="1"/>
    </xf>
    <xf numFmtId="0" fontId="7" fillId="0" borderId="2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10" fillId="0" borderId="2" pivotButton="0" quotePrefix="0" xfId="0"/>
    <xf numFmtId="0" fontId="10" fillId="5" borderId="2" pivotButton="0" quotePrefix="0" xfId="0"/>
    <xf numFmtId="49" fontId="7" fillId="0" borderId="2" applyAlignment="1" pivotButton="0" quotePrefix="0" xfId="0">
      <alignment vertical="center" wrapText="1"/>
    </xf>
    <xf numFmtId="9" fontId="7" fillId="0" borderId="2" applyAlignment="1" pivotButton="0" quotePrefix="0" xfId="0">
      <alignment vertical="center" wrapText="1"/>
    </xf>
    <xf numFmtId="164" fontId="7" fillId="0" borderId="2" applyAlignment="1" pivotButton="0" quotePrefix="0" xfId="0">
      <alignment vertical="center" wrapText="1"/>
    </xf>
    <xf numFmtId="0" fontId="8" fillId="0" borderId="0" pivotButton="0" quotePrefix="0" xfId="0"/>
    <xf numFmtId="0" fontId="33" fillId="0" borderId="0" pivotButton="0" quotePrefix="0" xfId="0"/>
    <xf numFmtId="0" fontId="15" fillId="5" borderId="0" pivotButton="0" quotePrefix="0" xfId="0"/>
    <xf numFmtId="0" fontId="27" fillId="0" borderId="0" applyAlignment="1" pivotButton="0" quotePrefix="0" xfId="0">
      <alignment vertical="top" wrapText="1"/>
    </xf>
    <xf numFmtId="0" fontId="34" fillId="0" borderId="0" applyAlignment="1" pivotButton="0" quotePrefix="0" xfId="0">
      <alignment vertical="top" wrapText="1"/>
    </xf>
    <xf numFmtId="166" fontId="17" fillId="0" borderId="2" applyAlignment="1" pivotButton="0" quotePrefix="0" xfId="0">
      <alignment horizontal="left" vertical="top"/>
    </xf>
    <xf numFmtId="0" fontId="31" fillId="0" borderId="1" pivotButton="0" quotePrefix="0" xfId="0"/>
  </cellXfs>
  <cellStyles count="1">
    <cellStyle name="Normal" xfId="0" builtinId="0" hidden="0"/>
  </cellStyles>
  <dxfs count="4">
    <dxf>
      <font>
        <b val="1"/>
        <color rgb="00A12622"/>
      </font>
      <fill>
        <patternFill patternType="solid">
          <bgColor rgb="00FDE2E1"/>
        </patternFill>
      </fill>
    </dxf>
    <dxf>
      <font>
        <b val="1"/>
        <color rgb="003E5A00"/>
      </font>
      <fill>
        <patternFill patternType="solid">
          <bgColor rgb="00EEF9D6"/>
        </patternFill>
      </fill>
    </dxf>
    <dxf>
      <font>
        <b val="1"/>
        <color rgb="007A5A00"/>
      </font>
      <fill>
        <patternFill patternType="solid">
          <bgColor rgb="00FFF4CC"/>
        </patternFill>
      </fill>
    </dxf>
    <dxf>
      <font>
        <color rgb="007A5A00"/>
      </font>
      <fill>
        <patternFill patternType="solid">
          <bgColor rgb="00FFF4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ables/table1.xml><?xml version="1.0" encoding="utf-8"?>
<table xmlns="http://schemas.openxmlformats.org/spreadsheetml/2006/main" id="1" name="tblQCustomers" displayName="tblQCustomers" ref="A5:M34" headerRowCount="1">
  <autoFilter ref="A5:M34"/>
  <tableColumns count="13">
    <tableColumn id="1" name="顧客ID"/>
    <tableColumn id="2" name="会社名"/>
    <tableColumn id="3" name="郵便番号"/>
    <tableColumn id="4" name="住所1"/>
    <tableColumn id="5" name="住所2"/>
    <tableColumn id="6" name="部署（既定）"/>
    <tableColumn id="7" name="担当者名（既定）"/>
    <tableColumn id="8" name="敬称"/>
    <tableColumn id="9" name="電話"/>
    <tableColumn id="10" name="補足"/>
    <tableColumn id="11" name="選択表示">
      <calculatedColumnFormula>IF(tblQCustomers[[#This Row],[顧客ID]]="","",tblQCustomers[[#This Row],[顧客ID]]&amp;"｜"&amp;tblQCustomers[[#This Row],[会社名]]&amp;IF(tblQCustomers[[#This Row],[部署（既定）]]&lt;&gt;"","（"&amp;tblQCustomers[[#This Row],[部署（既定）]]&amp;"）",""))</calculatedColumnFormula>
    </tableColumn>
    <tableColumn id="12" name="入力チェック">
      <calculatedColumnFormula>IF(AND(tblQCustomers[[#This Row],[顧客ID]]="",tblQCustomers[[#This Row],[会社名]]=""),"",_xlfn.TEXTJOIN("／",TRUE,IF(tblQCustomers[[#This Row],[顧客ID]]="","顧客IDが空欄",""),IF(AND(tblQCustomers[[#This Row],[顧客ID]]&lt;&gt;"",COUNTIF(tblQCustomers[顧客ID],tblQCustomers[[#This Row],[顧客ID]])&gt;1),"顧客IDが重複",""),IF(ISNUMBER(FIND("｜",tblQCustomers[[#This Row],[顧客ID]])),"IDに「｜」は使えない",""),IF(tblQCustomers[[#This Row],[会社名]]="","会社名が空欄",""),IF(AND(tblQCustomers[[#This Row],[敬称]]&lt;&gt;"",tblQCustomers[[#This Row],[敬称]]&lt;&gt;"様",tblQCustomers[[#This Row],[敬称]]&lt;&gt;"御中"),"敬称は「様」か「御中」","")))</calculatedColumnFormula>
    </tableColumn>
    <tableColumn id="13" name="ID番号">
      <calculatedColumnFormula>IFERROR(VALUE(MID(tblQCustomers[[#This Row],[顧客ID]],2,20)),"")</calculatedColumnFormula>
    </tableColumn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tblItems" displayName="tblItems" ref="A5:J54" headerRowCount="1">
  <autoFilter ref="A5:J54"/>
  <tableColumns count="10">
    <tableColumn id="1" name="商品ID"/>
    <tableColumn id="2" name="品名"/>
    <tableColumn id="3" name="仕様・型式"/>
    <tableColumn id="4" name="単位"/>
    <tableColumn id="5" name="標準単価（税抜）"/>
    <tableColumn id="6" name="無償扱い"/>
    <tableColumn id="7" name="補足"/>
    <tableColumn id="8" name="選択表示">
      <calculatedColumnFormula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calculatedColumnFormula>
    </tableColumn>
    <tableColumn id="9" name="入力チェック">
      <calculatedColumnFormula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calculatedColumnFormula>
    </tableColumn>
    <tableColumn id="10" name="ID番号">
      <calculatedColumnFormula>IFERROR(VALUE(MID(tblItems[[#This Row],[商品ID]],2,20)),"")</calculatedColumnFormula>
    </tableColumn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id="3" name="tblIssued" displayName="tblIssued" ref="B15:L24" headerRowCount="1">
  <autoFilter ref="B15:L24"/>
  <tableColumns count="11">
    <tableColumn id="2" name="見積番号"/>
    <tableColumn id="3" name="版"/>
    <tableColumn id="4" name="発行日"/>
    <tableColumn id="5" name="顧客ID"/>
    <tableColumn id="6" name="顧客名"/>
    <tableColumn id="7" name="件名"/>
    <tableColumn id="8" name="合計（税込）"/>
    <tableColumn id="9" name="保存したファイル名"/>
    <tableColumn id="10" name="提出日"/>
    <tableColumn id="11" name="提出方法"/>
    <tableColumn id="12" name="担当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6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sheet1.xml><?xml version="1.0" encoding="utf-8"?>
<worksheet xmlns="http://schemas.openxmlformats.org/spreadsheetml/2006/main">
  <sheetPr>
    <tabColor rgb="000A1B36"/>
    <outlinePr summaryBelow="1" summaryRight="1"/>
    <pageSetUpPr fitToPage="1"/>
  </sheetPr>
  <dimension ref="A1:R6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" customWidth="1" min="1" max="1"/>
    <col width="5" customWidth="1" min="2" max="2"/>
    <col width="30" customWidth="1" min="3" max="3"/>
    <col width="9" customWidth="1" min="4" max="4"/>
    <col width="12" customWidth="1" min="5" max="5"/>
    <col width="22" customWidth="1" min="6" max="6"/>
    <col width="8" customWidth="1" min="7" max="7"/>
    <col width="34" customWidth="1" min="8" max="8"/>
    <col width="7" customWidth="1" min="9" max="9"/>
    <col width="11" customWidth="1" min="10" max="10"/>
    <col width="11" customWidth="1" min="11" max="11"/>
    <col width="13" customWidth="1" min="12" max="12"/>
    <col width="26" customWidth="1" min="13" max="13"/>
    <col width="2" customWidth="1" min="14" max="14"/>
    <col hidden="1" width="8" customWidth="1" min="15" max="15"/>
    <col hidden="1" width="8" customWidth="1" min="16" max="16"/>
    <col hidden="1" width="8" customWidth="1" min="17" max="17"/>
    <col hidden="1" width="8" customWidth="1" min="18" max="18"/>
  </cols>
  <sheetData>
    <row r="1" ht="30" customHeight="1">
      <c r="A1" s="1" t="inlineStr">
        <is>
          <t>見積入力（01_入力）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テンプレート v1.0</t>
        </is>
      </c>
    </row>
    <row r="2" ht="26" customHeight="1">
      <c r="B2" s="4" t="inlineStr">
        <is>
          <t>① 宛先を選ぶ　→　② 明細を入力（商品を選んで数量）　→　③ 見積書を確認（02_見積書）</t>
        </is>
      </c>
      <c r="K2" s="5" t="inlineStr">
        <is>
          <t>▶ ③ 02_見積書を確認する</t>
        </is>
      </c>
      <c r="L2" s="6" t="n"/>
      <c r="M2" s="6" t="n"/>
    </row>
    <row r="3" ht="34" customHeight="1">
      <c r="B3" s="7" t="str">
        <f>IF(QErr=0,"✓ 入力チェック：問題なし（02_見積書で体裁を確認してから、06_発行控え手順に沿って保存・提出）","⚠ 入力チェック：要確認 "&amp;QErr&amp;" 件 — "&amp;QErrText)</f>
        <v>⚠ 入力チェック：要確認 7 件 — 見積番号が空欄／版を確認／発行日を確認／顧客が未選択／案件名が空欄／明細がありません／発行元の会社名が未入力（05_設定）</v>
      </c>
    </row>
    <row r="4" ht="18" customHeight="1">
      <c r="B4" s="8" t="inlineStr">
        <is>
          <t>凡例</t>
        </is>
      </c>
      <c r="D4" s="9" t="inlineStr">
        <is>
          <t>入力</t>
        </is>
      </c>
      <c r="E4" s="10" t="n"/>
      <c r="F4" s="11" t="inlineStr">
        <is>
          <t>自動表示・確認</t>
        </is>
      </c>
      <c r="G4" s="12" t="n"/>
      <c r="H4" s="13" t="inlineStr">
        <is>
          <t>注意・要確認</t>
        </is>
      </c>
      <c r="I4" s="14" t="inlineStr">
        <is>
          <t>要確認（エラー）</t>
        </is>
      </c>
      <c r="J4" s="15" t="n"/>
    </row>
    <row r="5" ht="22" customHeight="1">
      <c r="B5" s="16" t="inlineStr">
        <is>
          <t>① 宛先・見積の基本情報</t>
        </is>
      </c>
    </row>
    <row r="6" ht="22" customHeight="1">
      <c r="B6" s="17" t="inlineStr">
        <is>
          <t>見積番号</t>
        </is>
      </c>
      <c r="D6" s="18" t="n"/>
      <c r="E6" s="19" t="n"/>
      <c r="F6" s="19" t="n"/>
      <c r="G6" s="20" t="n"/>
      <c r="H6" s="21" t="str">
        <f>IF(Q_No="","⚠ 見積番号を入力してください","OK：保存名・台帳に使います")</f>
        <v>⚠ 見積番号を入力してください</v>
      </c>
    </row>
    <row r="7" ht="22" customHeight="1">
      <c r="B7" s="17" t="inlineStr">
        <is>
          <t>版</t>
        </is>
      </c>
      <c r="D7" s="22" t="n"/>
      <c r="E7" s="19" t="n"/>
      <c r="F7" s="19" t="n"/>
      <c r="G7" s="20" t="n"/>
      <c r="H7" s="21" t="str">
        <f>IF(Q_Ver="","⚠ 版を入力してください（初回は 1）",IF(OR(NOT(ISNUMBER(Q_Ver)),Q_Ver&lt;1,Q_Ver&lt;&gt;INT(Q_Ver)),"⚠ 版は1以上の整数","OK：第"&amp;Q_Ver&amp;"版"))</f>
        <v>⚠ 版を入力してください（初回は 1）</v>
      </c>
    </row>
    <row r="8" ht="22" customHeight="1">
      <c r="B8" s="17" t="inlineStr">
        <is>
          <t>発行日</t>
        </is>
      </c>
      <c r="D8" s="23" t="n"/>
      <c r="E8" s="19" t="n"/>
      <c r="F8" s="19" t="n"/>
      <c r="G8" s="20" t="n"/>
      <c r="H8" s="21" t="str">
        <f>IF(Q_Date="","⚠ 発行日を入力してください",IF(NOT(ISNUMBER(Q_Date)),"⚠ 発行日が日付ではありません","OK：発行日 "&amp;TEXT(Q_Date,"yyyy/mm/dd")))</f>
        <v>⚠ 発行日を入力してください</v>
      </c>
    </row>
    <row r="9" ht="22" customHeight="1">
      <c r="B9" s="17" t="inlineStr">
        <is>
          <t>有効期限（任意）</t>
        </is>
      </c>
      <c r="D9" s="23" t="n"/>
      <c r="E9" s="19" t="n"/>
      <c r="F9" s="19" t="n"/>
      <c r="G9" s="20" t="n"/>
      <c r="H9" s="21" t="str">
        <f>IF(NOT(ISNUMBER(Q_Date)),"（発行日を入れると表示）",IF(Q_Valid="","使用する有効期限："&amp;TEXT(Q_Date+ValidDays,"yyyy/mm/dd")&amp;"（発行日＋"&amp;ValidDays&amp;"日）",IF(NOT(ISNUMBER(Q_Valid)),"⚠ 有効期限が日付ではありません",IF(Q_Valid&lt;Q_Date,"⚠ 有効期限が発行日より前です","OK：有効期限 "&amp;TEXT(Q_Valid,"yyyy/mm/dd")))))</f>
        <v>（発行日を入れると表示）</v>
      </c>
    </row>
    <row r="10" ht="22" customHeight="1">
      <c r="B10" s="17" t="inlineStr">
        <is>
          <t>顧客（選択）</t>
        </is>
      </c>
      <c r="D10" s="24" t="n"/>
      <c r="E10" s="19" t="n"/>
      <c r="F10" s="19" t="n"/>
      <c r="G10" s="20" t="n"/>
      <c r="H10" s="21" t="str">
        <f>IF(Q_Cust="","⚠ 顧客を選択してください",IF(Q_CustRow="未登録","⚠ 顧客マスターにない顧客IDです（"&amp;Q_CustID&amp;"）","宛先："&amp;INDEX(tblQCustomers[会社名],Q_CustRow)&amp;""&amp;"　"&amp;INDEX(tblQCustomers[住所1],Q_CustRow)&amp;""))</f>
        <v>⚠ 顧客を選択してください</v>
      </c>
      <c r="O10" t="str">
        <f>IF(Q_Cust="","",IF(ISNUMBER(FIND("｜",Q_Cust)),LEFT(Q_Cust,FIND("｜",Q_Cust)-1),TRIM(Q_Cust)))</f>
        <v/>
      </c>
      <c r="P10" t="str">
        <f>IF(O10="","",IFERROR(MATCH(O10,tblQCustomers[顧客ID],0),"未登録"))</f>
        <v/>
      </c>
    </row>
    <row r="11" ht="22" customHeight="1">
      <c r="B11" s="17" t="inlineStr">
        <is>
          <t>部署・宛名（任意）</t>
        </is>
      </c>
      <c r="D11" s="18" t="n"/>
      <c r="E11" s="19" t="n"/>
      <c r="F11" s="19" t="n"/>
      <c r="G11" s="20" t="n"/>
      <c r="H11" s="21" t="str">
        <f>IF(Q_CustRow="","",IF(Q_CustRow="未登録","","宛名："&amp;IF(Q_Attn&lt;&gt;"",Q_Attn&amp;" 様（入力した宛名）",IF(INDEX(tblQCustomers[担当者名（既定）],Q_CustRow)&amp;""&lt;&gt;"",TRIM(INDEX(tblQCustomers[部署（既定）],Q_CustRow)&amp;""&amp;" "&amp;INDEX(tblQCustomers[担当者名（既定）],Q_CustRow)&amp;"")&amp;" "&amp;IF(INDEX(tblQCustomers[敬称],Q_CustRow)&amp;""="","様",INDEX(tblQCustomers[敬称],Q_CustRow)&amp;""),IF(INDEX(tblQCustomers[部署（既定）],Q_CustRow)&amp;""&lt;&gt;"",INDEX(tblQCustomers[部署（既定）],Q_CustRow)&amp;""&amp;" 御中（マスターの既定）","会社名 御中")))))</f>
        <v/>
      </c>
    </row>
    <row r="12" ht="22" customHeight="1">
      <c r="B12" s="17" t="inlineStr">
        <is>
          <t>案件名</t>
        </is>
      </c>
      <c r="D12" s="18" t="n"/>
      <c r="E12" s="19" t="n"/>
      <c r="F12" s="19" t="n"/>
      <c r="G12" s="20" t="n"/>
      <c r="H12" s="21" t="str">
        <f>IF(Q_Title="","⚠ 案件名（件名）を入力してください","OK")</f>
        <v>⚠ 案件名（件名）を入力してください</v>
      </c>
    </row>
    <row r="13" ht="22" customHeight="1">
      <c r="B13" s="17" t="inlineStr">
        <is>
          <t>案件ID（任意）</t>
        </is>
      </c>
      <c r="D13" s="18" t="n"/>
      <c r="E13" s="19" t="n"/>
      <c r="F13" s="19" t="n"/>
      <c r="G13" s="20" t="n"/>
      <c r="H13" s="21" t="str">
        <f>IF(Q_CaseID="","（任意）","CRM の 02_案件一覧 に見積番号・版・提出日を手入力してください")</f>
        <v>（任意）</v>
      </c>
    </row>
    <row r="14" ht="22" customHeight="1">
      <c r="B14" s="17" t="inlineStr">
        <is>
          <t>納期</t>
        </is>
      </c>
      <c r="D14" s="18" t="n"/>
      <c r="E14" s="19" t="n"/>
      <c r="F14" s="19" t="n"/>
      <c r="G14" s="20" t="n"/>
      <c r="H14" s="21" t="str">
        <f>IF(Q_Delivery="","（任意）空欄なら見積書では「別途ご相談」と表示","OK")</f>
        <v>（任意）空欄なら見積書では「別途ご相談」と表示</v>
      </c>
    </row>
    <row r="15" ht="22" customHeight="1">
      <c r="B15" s="17" t="inlineStr">
        <is>
          <t>支払条件（任意）</t>
        </is>
      </c>
      <c r="D15" s="24" t="n"/>
      <c r="E15" s="19" t="n"/>
      <c r="F15" s="19" t="n"/>
      <c r="G15" s="20" t="n"/>
      <c r="H15" s="21" t="str">
        <f>IF(Q_Pay="","使用する支払条件："&amp;IF(DefaultPay="","（未設定：05_設定）",DefaultPay)&amp;"（既定）","OK：入力した支払条件")</f>
        <v>使用する支払条件：（未設定：05_設定）（既定）</v>
      </c>
    </row>
    <row r="16" ht="22" customHeight="1">
      <c r="B16" s="17" t="inlineStr">
        <is>
          <t>備考 1行目（任意）</t>
        </is>
      </c>
      <c r="D16" s="18" t="n"/>
      <c r="E16" s="19" t="n"/>
      <c r="F16" s="19" t="n"/>
      <c r="G16" s="20" t="n"/>
      <c r="H16" s="21" t="str">
        <f>"見積書の備考欄に1行ずつ表示（3行まで）"</f>
        <v>見積書の備考欄に1行ずつ表示（3行まで）</v>
      </c>
    </row>
    <row r="17" ht="22" customHeight="1">
      <c r="B17" s="17" t="inlineStr">
        <is>
          <t>備考 2行目（任意）</t>
        </is>
      </c>
      <c r="D17" s="18" t="n"/>
      <c r="E17" s="19" t="n"/>
      <c r="F17" s="19" t="n"/>
      <c r="G17" s="20" t="n"/>
      <c r="H17" s="21" t="str">
        <f>IF(LEN(Q_Note1&amp;Q_Note2&amp;Q_Note3)&gt;180,"⚠ 備考が長すぎます（合計180文字まで）","")</f>
        <v/>
      </c>
    </row>
    <row r="18" ht="22" customHeight="1">
      <c r="B18" s="17" t="inlineStr">
        <is>
          <t>備考 3行目（任意）</t>
        </is>
      </c>
      <c r="D18" s="18" t="n"/>
      <c r="E18" s="19" t="n"/>
      <c r="F18" s="19" t="n"/>
      <c r="G18" s="20" t="n"/>
      <c r="H18" s="21" t="n"/>
    </row>
    <row r="20" ht="22" customHeight="1">
      <c r="B20" s="16" t="inlineStr">
        <is>
          <t>② 明細（最大15行。空行は計算しません）</t>
        </is>
      </c>
    </row>
    <row r="21" ht="32" customHeight="1">
      <c r="B21" s="25" t="inlineStr">
        <is>
          <t>No</t>
        </is>
      </c>
      <c r="C21" s="26" t="inlineStr">
        <is>
          <t>商品（選択）</t>
        </is>
      </c>
      <c r="D21" s="26" t="inlineStr">
        <is>
          <t>数量</t>
        </is>
      </c>
      <c r="E21" s="26" t="inlineStr">
        <is>
          <t>単価の上書き（任意）</t>
        </is>
      </c>
      <c r="F21" s="26" t="inlineStr">
        <is>
          <t>品名の補足／手入力の品名</t>
        </is>
      </c>
      <c r="G21" s="26" t="inlineStr">
        <is>
          <t>手入力の単位</t>
        </is>
      </c>
      <c r="H21" s="27" t="inlineStr">
        <is>
          <t>品名・仕様（見積書に表示）</t>
        </is>
      </c>
      <c r="I21" s="27" t="inlineStr">
        <is>
          <t>単位</t>
        </is>
      </c>
      <c r="J21" s="27" t="inlineStr">
        <is>
          <t>マスター単価</t>
        </is>
      </c>
      <c r="K21" s="27" t="inlineStr">
        <is>
          <t>適用単価</t>
        </is>
      </c>
      <c r="L21" s="27" t="inlineStr">
        <is>
          <t>金額</t>
        </is>
      </c>
      <c r="M21" s="27" t="inlineStr">
        <is>
          <t>行の状態</t>
        </is>
      </c>
      <c r="R21">
        <f>ROWS(C22:C36)</f>
        <v>15</v>
      </c>
    </row>
    <row r="22" ht="30" customHeight="1">
      <c r="B22" s="28" t="n">
        <v>1</v>
      </c>
      <c r="C22" s="29" t="n"/>
      <c r="D22" s="30" t="n"/>
      <c r="E22" s="31" t="n"/>
      <c r="F22" s="29" t="n"/>
      <c r="G22" s="32" t="n"/>
      <c r="H22" s="33" t="str">
        <f>IF(AND(C22="",D22="",E22="",F22="",G22=""),"",IF(Q22=1,F22&amp;"",IF(ISNUMBER(P22),INDEX(tblItems[品名],P22)&amp;IF(INDEX(tblItems[仕様・型式],P22)&amp;""&lt;&gt;"","（"&amp;INDEX(tblItems[仕様・型式],P22)&amp;"）","")&amp;IF(F22&lt;&gt;"","／"&amp;F22,""),"")))</f>
        <v/>
      </c>
      <c r="I22" s="34" t="str">
        <f>IF(AND(C22="",D22="",E22="",F22="",G22=""),"",IF(Q22=1,G22&amp;"",IF(ISNUMBER(P22),INDEX(tblItems[単位],P22)&amp;"","")))</f>
        <v/>
      </c>
      <c r="J22" s="35" t="str">
        <f>IF(ISNUMBER(P22),INDEX(tblItems[標準単価（税抜）],P22),"")</f>
        <v/>
      </c>
      <c r="K22" s="35" t="str">
        <f>IF(AND(C22="",D22="",E22="",F22="",G22=""),"",IF(E22&lt;&gt;"",E22,IF(Q22=1,"",J22)))</f>
        <v/>
      </c>
      <c r="L22" s="35" t="str">
        <f>IF(LEFT(M22,2)="OK",IF(RoundLine="切り上げ",ROUNDUP(ROUND(D22*K22,6),0),IF(RoundLine="四捨五入",ROUND(D22*K22,0),ROUNDDOWN(ROUND(D22*K22,6),0))),IF(M22="","","要確認"))</f>
        <v/>
      </c>
      <c r="M22" s="33" t="str">
        <f>IF(AND(C22="",D22="",E22="",F22="",G22=""),"",IF(C22="","入力未完了：商品を選択",IF(AND(Q22=0,P22="未登録"),"未登録の商品ID（"&amp;O22&amp;"）",IF(D22="","入力未完了：数量なし",IF(NOT(ISNUMBER(D22)),"数量が数値ではない",IF(D22&lt;=0,"数量は0より大きく",IF(AND(E22&lt;&gt;"",NOT(ISNUMBER(E22))),"単価の上書きが数値ではない",IF(AND(ISNUMBER(E22),N(E22)&lt;0),"単価はマイナス不可",IF(AND(Q22=1,OR(F22="",G22="",E22="")),"手入力は品名・単位・単価の上書きが必要",IF(NOT(ISNUMBER(K22)),"マスター単価が未設定",IF(N(K22)=0,IF(OR(ISNUMBER(E22),IF(Q22=0,INDEX(tblItems[無償扱い],P22)&amp;"","")="はい"),"OK（無償）","マスター単価が0円：要確認"),IF(AND(Q22=0,G22&lt;&gt;"",G22&lt;&gt;I22),"OK（単位はマスター優先）","OK"))))))))))))</f>
        <v/>
      </c>
      <c r="O22" t="str">
        <f>IF(OR(C22="",C22="手入力（マスター外）"),"",IF(ISNUMBER(FIND("｜",C22)),LEFT(C22,FIND("｜",C22)-1),TRIM(C22)))</f>
        <v/>
      </c>
      <c r="P22" t="str">
        <f>IF(O22="","",IFERROR(MATCH(O22,tblItems[商品ID],0),"未登録"))</f>
        <v/>
      </c>
      <c r="Q22">
        <f>IF(C22="手入力（マスター外）",1,0)</f>
        <v>0</v>
      </c>
    </row>
    <row r="23" ht="30" customHeight="1">
      <c r="B23" s="28" t="n">
        <v>2</v>
      </c>
      <c r="C23" s="29" t="n"/>
      <c r="D23" s="30" t="n"/>
      <c r="E23" s="31" t="n"/>
      <c r="F23" s="29" t="n"/>
      <c r="G23" s="32" t="n"/>
      <c r="H23" s="33" t="str">
        <f>IF(AND(C23="",D23="",E23="",F23="",G23=""),"",IF(Q23=1,F23&amp;"",IF(ISNUMBER(P23),INDEX(tblItems[品名],P23)&amp;IF(INDEX(tblItems[仕様・型式],P23)&amp;""&lt;&gt;"","（"&amp;INDEX(tblItems[仕様・型式],P23)&amp;"）","")&amp;IF(F23&lt;&gt;"","／"&amp;F23,""),"")))</f>
        <v/>
      </c>
      <c r="I23" s="34" t="str">
        <f>IF(AND(C23="",D23="",E23="",F23="",G23=""),"",IF(Q23=1,G23&amp;"",IF(ISNUMBER(P23),INDEX(tblItems[単位],P23)&amp;"","")))</f>
        <v/>
      </c>
      <c r="J23" s="35" t="str">
        <f>IF(ISNUMBER(P23),INDEX(tblItems[標準単価（税抜）],P23),"")</f>
        <v/>
      </c>
      <c r="K23" s="35" t="str">
        <f>IF(AND(C23="",D23="",E23="",F23="",G23=""),"",IF(E23&lt;&gt;"",E23,IF(Q23=1,"",J23)))</f>
        <v/>
      </c>
      <c r="L23" s="35" t="str">
        <f>IF(LEFT(M23,2)="OK",IF(RoundLine="切り上げ",ROUNDUP(ROUND(D23*K23,6),0),IF(RoundLine="四捨五入",ROUND(D23*K23,0),ROUNDDOWN(ROUND(D23*K23,6),0))),IF(M23="","","要確認"))</f>
        <v/>
      </c>
      <c r="M23" s="33" t="str">
        <f>IF(AND(C23="",D23="",E23="",F23="",G23=""),"",IF(C23="","入力未完了：商品を選択",IF(AND(Q23=0,P23="未登録"),"未登録の商品ID（"&amp;O23&amp;"）",IF(D23="","入力未完了：数量なし",IF(NOT(ISNUMBER(D23)),"数量が数値ではない",IF(D23&lt;=0,"数量は0より大きく",IF(AND(E23&lt;&gt;"",NOT(ISNUMBER(E23))),"単価の上書きが数値ではない",IF(AND(ISNUMBER(E23),N(E23)&lt;0),"単価はマイナス不可",IF(AND(Q23=1,OR(F23="",G23="",E23="")),"手入力は品名・単位・単価の上書きが必要",IF(NOT(ISNUMBER(K23)),"マスター単価が未設定",IF(N(K23)=0,IF(OR(ISNUMBER(E23),IF(Q23=0,INDEX(tblItems[無償扱い],P23)&amp;"","")="はい"),"OK（無償）","マスター単価が0円：要確認"),IF(AND(Q23=0,G23&lt;&gt;"",G23&lt;&gt;I23),"OK（単位はマスター優先）","OK"))))))))))))</f>
        <v/>
      </c>
      <c r="O23" t="str">
        <f>IF(OR(C23="",C23="手入力（マスター外）"),"",IF(ISNUMBER(FIND("｜",C23)),LEFT(C23,FIND("｜",C23)-1),TRIM(C23)))</f>
        <v/>
      </c>
      <c r="P23" t="str">
        <f>IF(O23="","",IFERROR(MATCH(O23,tblItems[商品ID],0),"未登録"))</f>
        <v/>
      </c>
      <c r="Q23">
        <f>IF(C23="手入力（マスター外）",1,0)</f>
        <v>0</v>
      </c>
    </row>
    <row r="24" ht="30" customHeight="1">
      <c r="B24" s="28" t="n">
        <v>3</v>
      </c>
      <c r="C24" s="29" t="n"/>
      <c r="D24" s="30" t="n"/>
      <c r="E24" s="31" t="n"/>
      <c r="F24" s="29" t="n"/>
      <c r="G24" s="32" t="n"/>
      <c r="H24" s="33" t="str">
        <f>IF(AND(C24="",D24="",E24="",F24="",G24=""),"",IF(Q24=1,F24&amp;"",IF(ISNUMBER(P24),INDEX(tblItems[品名],P24)&amp;IF(INDEX(tblItems[仕様・型式],P24)&amp;""&lt;&gt;"","（"&amp;INDEX(tblItems[仕様・型式],P24)&amp;"）","")&amp;IF(F24&lt;&gt;"","／"&amp;F24,""),"")))</f>
        <v/>
      </c>
      <c r="I24" s="34" t="str">
        <f>IF(AND(C24="",D24="",E24="",F24="",G24=""),"",IF(Q24=1,G24&amp;"",IF(ISNUMBER(P24),INDEX(tblItems[単位],P24)&amp;"","")))</f>
        <v/>
      </c>
      <c r="J24" s="35" t="str">
        <f>IF(ISNUMBER(P24),INDEX(tblItems[標準単価（税抜）],P24),"")</f>
        <v/>
      </c>
      <c r="K24" s="35" t="str">
        <f>IF(AND(C24="",D24="",E24="",F24="",G24=""),"",IF(E24&lt;&gt;"",E24,IF(Q24=1,"",J24)))</f>
        <v/>
      </c>
      <c r="L24" s="35" t="str">
        <f>IF(LEFT(M24,2)="OK",IF(RoundLine="切り上げ",ROUNDUP(ROUND(D24*K24,6),0),IF(RoundLine="四捨五入",ROUND(D24*K24,0),ROUNDDOWN(ROUND(D24*K24,6),0))),IF(M24="","","要確認"))</f>
        <v/>
      </c>
      <c r="M24" s="33" t="str">
        <f>IF(AND(C24="",D24="",E24="",F24="",G24=""),"",IF(C24="","入力未完了：商品を選択",IF(AND(Q24=0,P24="未登録"),"未登録の商品ID（"&amp;O24&amp;"）",IF(D24="","入力未完了：数量なし",IF(NOT(ISNUMBER(D24)),"数量が数値ではない",IF(D24&lt;=0,"数量は0より大きく",IF(AND(E24&lt;&gt;"",NOT(ISNUMBER(E24))),"単価の上書きが数値ではない",IF(AND(ISNUMBER(E24),N(E24)&lt;0),"単価はマイナス不可",IF(AND(Q24=1,OR(F24="",G24="",E24="")),"手入力は品名・単位・単価の上書きが必要",IF(NOT(ISNUMBER(K24)),"マスター単価が未設定",IF(N(K24)=0,IF(OR(ISNUMBER(E24),IF(Q24=0,INDEX(tblItems[無償扱い],P24)&amp;"","")="はい"),"OK（無償）","マスター単価が0円：要確認"),IF(AND(Q24=0,G24&lt;&gt;"",G24&lt;&gt;I24),"OK（単位はマスター優先）","OK"))))))))))))</f>
        <v/>
      </c>
      <c r="O24" t="str">
        <f>IF(OR(C24="",C24="手入力（マスター外）"),"",IF(ISNUMBER(FIND("｜",C24)),LEFT(C24,FIND("｜",C24)-1),TRIM(C24)))</f>
        <v/>
      </c>
      <c r="P24" t="str">
        <f>IF(O24="","",IFERROR(MATCH(O24,tblItems[商品ID],0),"未登録"))</f>
        <v/>
      </c>
      <c r="Q24">
        <f>IF(C24="手入力（マスター外）",1,0)</f>
        <v>0</v>
      </c>
    </row>
    <row r="25" ht="30" customHeight="1">
      <c r="B25" s="28" t="n">
        <v>4</v>
      </c>
      <c r="C25" s="29" t="n"/>
      <c r="D25" s="30" t="n"/>
      <c r="E25" s="31" t="n"/>
      <c r="F25" s="29" t="n"/>
      <c r="G25" s="32" t="n"/>
      <c r="H25" s="33" t="str">
        <f>IF(AND(C25="",D25="",E25="",F25="",G25=""),"",IF(Q25=1,F25&amp;"",IF(ISNUMBER(P25),INDEX(tblItems[品名],P25)&amp;IF(INDEX(tblItems[仕様・型式],P25)&amp;""&lt;&gt;"","（"&amp;INDEX(tblItems[仕様・型式],P25)&amp;"）","")&amp;IF(F25&lt;&gt;"","／"&amp;F25,""),"")))</f>
        <v/>
      </c>
      <c r="I25" s="34" t="str">
        <f>IF(AND(C25="",D25="",E25="",F25="",G25=""),"",IF(Q25=1,G25&amp;"",IF(ISNUMBER(P25),INDEX(tblItems[単位],P25)&amp;"","")))</f>
        <v/>
      </c>
      <c r="J25" s="35" t="str">
        <f>IF(ISNUMBER(P25),INDEX(tblItems[標準単価（税抜）],P25),"")</f>
        <v/>
      </c>
      <c r="K25" s="35" t="str">
        <f>IF(AND(C25="",D25="",E25="",F25="",G25=""),"",IF(E25&lt;&gt;"",E25,IF(Q25=1,"",J25)))</f>
        <v/>
      </c>
      <c r="L25" s="35" t="str">
        <f>IF(LEFT(M25,2)="OK",IF(RoundLine="切り上げ",ROUNDUP(ROUND(D25*K25,6),0),IF(RoundLine="四捨五入",ROUND(D25*K25,0),ROUNDDOWN(ROUND(D25*K25,6),0))),IF(M25="","","要確認"))</f>
        <v/>
      </c>
      <c r="M25" s="33" t="str">
        <f>IF(AND(C25="",D25="",E25="",F25="",G25=""),"",IF(C25="","入力未完了：商品を選択",IF(AND(Q25=0,P25="未登録"),"未登録の商品ID（"&amp;O25&amp;"）",IF(D25="","入力未完了：数量なし",IF(NOT(ISNUMBER(D25)),"数量が数値ではない",IF(D25&lt;=0,"数量は0より大きく",IF(AND(E25&lt;&gt;"",NOT(ISNUMBER(E25))),"単価の上書きが数値ではない",IF(AND(ISNUMBER(E25),N(E25)&lt;0),"単価はマイナス不可",IF(AND(Q25=1,OR(F25="",G25="",E25="")),"手入力は品名・単位・単価の上書きが必要",IF(NOT(ISNUMBER(K25)),"マスター単価が未設定",IF(N(K25)=0,IF(OR(ISNUMBER(E25),IF(Q25=0,INDEX(tblItems[無償扱い],P25)&amp;"","")="はい"),"OK（無償）","マスター単価が0円：要確認"),IF(AND(Q25=0,G25&lt;&gt;"",G25&lt;&gt;I25),"OK（単位はマスター優先）","OK"))))))))))))</f>
        <v/>
      </c>
      <c r="O25" t="str">
        <f>IF(OR(C25="",C25="手入力（マスター外）"),"",IF(ISNUMBER(FIND("｜",C25)),LEFT(C25,FIND("｜",C25)-1),TRIM(C25)))</f>
        <v/>
      </c>
      <c r="P25" t="str">
        <f>IF(O25="","",IFERROR(MATCH(O25,tblItems[商品ID],0),"未登録"))</f>
        <v/>
      </c>
      <c r="Q25">
        <f>IF(C25="手入力（マスター外）",1,0)</f>
        <v>0</v>
      </c>
    </row>
    <row r="26" ht="30" customHeight="1">
      <c r="B26" s="28" t="n">
        <v>5</v>
      </c>
      <c r="C26" s="29" t="n"/>
      <c r="D26" s="30" t="n"/>
      <c r="E26" s="31" t="n"/>
      <c r="F26" s="29" t="n"/>
      <c r="G26" s="32" t="n"/>
      <c r="H26" s="33" t="str">
        <f>IF(AND(C26="",D26="",E26="",F26="",G26=""),"",IF(Q26=1,F26&amp;"",IF(ISNUMBER(P26),INDEX(tblItems[品名],P26)&amp;IF(INDEX(tblItems[仕様・型式],P26)&amp;""&lt;&gt;"","（"&amp;INDEX(tblItems[仕様・型式],P26)&amp;"）","")&amp;IF(F26&lt;&gt;"","／"&amp;F26,""),"")))</f>
        <v/>
      </c>
      <c r="I26" s="34" t="str">
        <f>IF(AND(C26="",D26="",E26="",F26="",G26=""),"",IF(Q26=1,G26&amp;"",IF(ISNUMBER(P26),INDEX(tblItems[単位],P26)&amp;"","")))</f>
        <v/>
      </c>
      <c r="J26" s="35" t="str">
        <f>IF(ISNUMBER(P26),INDEX(tblItems[標準単価（税抜）],P26),"")</f>
        <v/>
      </c>
      <c r="K26" s="35" t="str">
        <f>IF(AND(C26="",D26="",E26="",F26="",G26=""),"",IF(E26&lt;&gt;"",E26,IF(Q26=1,"",J26)))</f>
        <v/>
      </c>
      <c r="L26" s="35" t="str">
        <f>IF(LEFT(M26,2)="OK",IF(RoundLine="切り上げ",ROUNDUP(ROUND(D26*K26,6),0),IF(RoundLine="四捨五入",ROUND(D26*K26,0),ROUNDDOWN(ROUND(D26*K26,6),0))),IF(M26="","","要確認"))</f>
        <v/>
      </c>
      <c r="M26" s="33" t="str">
        <f>IF(AND(C26="",D26="",E26="",F26="",G26=""),"",IF(C26="","入力未完了：商品を選択",IF(AND(Q26=0,P26="未登録"),"未登録の商品ID（"&amp;O26&amp;"）",IF(D26="","入力未完了：数量なし",IF(NOT(ISNUMBER(D26)),"数量が数値ではない",IF(D26&lt;=0,"数量は0より大きく",IF(AND(E26&lt;&gt;"",NOT(ISNUMBER(E26))),"単価の上書きが数値ではない",IF(AND(ISNUMBER(E26),N(E26)&lt;0),"単価はマイナス不可",IF(AND(Q26=1,OR(F26="",G26="",E26="")),"手入力は品名・単位・単価の上書きが必要",IF(NOT(ISNUMBER(K26)),"マスター単価が未設定",IF(N(K26)=0,IF(OR(ISNUMBER(E26),IF(Q26=0,INDEX(tblItems[無償扱い],P26)&amp;"","")="はい"),"OK（無償）","マスター単価が0円：要確認"),IF(AND(Q26=0,G26&lt;&gt;"",G26&lt;&gt;I26),"OK（単位はマスター優先）","OK"))))))))))))</f>
        <v/>
      </c>
      <c r="O26" t="str">
        <f>IF(OR(C26="",C26="手入力（マスター外）"),"",IF(ISNUMBER(FIND("｜",C26)),LEFT(C26,FIND("｜",C26)-1),TRIM(C26)))</f>
        <v/>
      </c>
      <c r="P26" t="str">
        <f>IF(O26="","",IFERROR(MATCH(O26,tblItems[商品ID],0),"未登録"))</f>
        <v/>
      </c>
      <c r="Q26">
        <f>IF(C26="手入力（マスター外）",1,0)</f>
        <v>0</v>
      </c>
    </row>
    <row r="27" ht="30" customHeight="1">
      <c r="B27" s="28" t="n">
        <v>6</v>
      </c>
      <c r="C27" s="29" t="n"/>
      <c r="D27" s="30" t="n"/>
      <c r="E27" s="31" t="n"/>
      <c r="F27" s="29" t="n"/>
      <c r="G27" s="32" t="n"/>
      <c r="H27" s="33" t="str">
        <f>IF(AND(C27="",D27="",E27="",F27="",G27=""),"",IF(Q27=1,F27&amp;"",IF(ISNUMBER(P27),INDEX(tblItems[品名],P27)&amp;IF(INDEX(tblItems[仕様・型式],P27)&amp;""&lt;&gt;"","（"&amp;INDEX(tblItems[仕様・型式],P27)&amp;"）","")&amp;IF(F27&lt;&gt;"","／"&amp;F27,""),"")))</f>
        <v/>
      </c>
      <c r="I27" s="34" t="str">
        <f>IF(AND(C27="",D27="",E27="",F27="",G27=""),"",IF(Q27=1,G27&amp;"",IF(ISNUMBER(P27),INDEX(tblItems[単位],P27)&amp;"","")))</f>
        <v/>
      </c>
      <c r="J27" s="35" t="str">
        <f>IF(ISNUMBER(P27),INDEX(tblItems[標準単価（税抜）],P27),"")</f>
        <v/>
      </c>
      <c r="K27" s="35" t="str">
        <f>IF(AND(C27="",D27="",E27="",F27="",G27=""),"",IF(E27&lt;&gt;"",E27,IF(Q27=1,"",J27)))</f>
        <v/>
      </c>
      <c r="L27" s="35" t="str">
        <f>IF(LEFT(M27,2)="OK",IF(RoundLine="切り上げ",ROUNDUP(ROUND(D27*K27,6),0),IF(RoundLine="四捨五入",ROUND(D27*K27,0),ROUNDDOWN(ROUND(D27*K27,6),0))),IF(M27="","","要確認"))</f>
        <v/>
      </c>
      <c r="M27" s="33" t="str">
        <f>IF(AND(C27="",D27="",E27="",F27="",G27=""),"",IF(C27="","入力未完了：商品を選択",IF(AND(Q27=0,P27="未登録"),"未登録の商品ID（"&amp;O27&amp;"）",IF(D27="","入力未完了：数量なし",IF(NOT(ISNUMBER(D27)),"数量が数値ではない",IF(D27&lt;=0,"数量は0より大きく",IF(AND(E27&lt;&gt;"",NOT(ISNUMBER(E27))),"単価の上書きが数値ではない",IF(AND(ISNUMBER(E27),N(E27)&lt;0),"単価はマイナス不可",IF(AND(Q27=1,OR(F27="",G27="",E27="")),"手入力は品名・単位・単価の上書きが必要",IF(NOT(ISNUMBER(K27)),"マスター単価が未設定",IF(N(K27)=0,IF(OR(ISNUMBER(E27),IF(Q27=0,INDEX(tblItems[無償扱い],P27)&amp;"","")="はい"),"OK（無償）","マスター単価が0円：要確認"),IF(AND(Q27=0,G27&lt;&gt;"",G27&lt;&gt;I27),"OK（単位はマスター優先）","OK"))))))))))))</f>
        <v/>
      </c>
      <c r="O27" t="str">
        <f>IF(OR(C27="",C27="手入力（マスター外）"),"",IF(ISNUMBER(FIND("｜",C27)),LEFT(C27,FIND("｜",C27)-1),TRIM(C27)))</f>
        <v/>
      </c>
      <c r="P27" t="str">
        <f>IF(O27="","",IFERROR(MATCH(O27,tblItems[商品ID],0),"未登録"))</f>
        <v/>
      </c>
      <c r="Q27">
        <f>IF(C27="手入力（マスター外）",1,0)</f>
        <v>0</v>
      </c>
    </row>
    <row r="28" ht="30" customHeight="1">
      <c r="B28" s="28" t="n">
        <v>7</v>
      </c>
      <c r="C28" s="29" t="n"/>
      <c r="D28" s="30" t="n"/>
      <c r="E28" s="31" t="n"/>
      <c r="F28" s="29" t="n"/>
      <c r="G28" s="32" t="n"/>
      <c r="H28" s="33" t="str">
        <f>IF(AND(C28="",D28="",E28="",F28="",G28=""),"",IF(Q28=1,F28&amp;"",IF(ISNUMBER(P28),INDEX(tblItems[品名],P28)&amp;IF(INDEX(tblItems[仕様・型式],P28)&amp;""&lt;&gt;"","（"&amp;INDEX(tblItems[仕様・型式],P28)&amp;"）","")&amp;IF(F28&lt;&gt;"","／"&amp;F28,""),"")))</f>
        <v/>
      </c>
      <c r="I28" s="34" t="str">
        <f>IF(AND(C28="",D28="",E28="",F28="",G28=""),"",IF(Q28=1,G28&amp;"",IF(ISNUMBER(P28),INDEX(tblItems[単位],P28)&amp;"","")))</f>
        <v/>
      </c>
      <c r="J28" s="35" t="str">
        <f>IF(ISNUMBER(P28),INDEX(tblItems[標準単価（税抜）],P28),"")</f>
        <v/>
      </c>
      <c r="K28" s="35" t="str">
        <f>IF(AND(C28="",D28="",E28="",F28="",G28=""),"",IF(E28&lt;&gt;"",E28,IF(Q28=1,"",J28)))</f>
        <v/>
      </c>
      <c r="L28" s="35" t="str">
        <f>IF(LEFT(M28,2)="OK",IF(RoundLine="切り上げ",ROUNDUP(ROUND(D28*K28,6),0),IF(RoundLine="四捨五入",ROUND(D28*K28,0),ROUNDDOWN(ROUND(D28*K28,6),0))),IF(M28="","","要確認"))</f>
        <v/>
      </c>
      <c r="M28" s="33" t="str">
        <f>IF(AND(C28="",D28="",E28="",F28="",G28=""),"",IF(C28="","入力未完了：商品を選択",IF(AND(Q28=0,P28="未登録"),"未登録の商品ID（"&amp;O28&amp;"）",IF(D28="","入力未完了：数量なし",IF(NOT(ISNUMBER(D28)),"数量が数値ではない",IF(D28&lt;=0,"数量は0より大きく",IF(AND(E28&lt;&gt;"",NOT(ISNUMBER(E28))),"単価の上書きが数値ではない",IF(AND(ISNUMBER(E28),N(E28)&lt;0),"単価はマイナス不可",IF(AND(Q28=1,OR(F28="",G28="",E28="")),"手入力は品名・単位・単価の上書きが必要",IF(NOT(ISNUMBER(K28)),"マスター単価が未設定",IF(N(K28)=0,IF(OR(ISNUMBER(E28),IF(Q28=0,INDEX(tblItems[無償扱い],P28)&amp;"","")="はい"),"OK（無償）","マスター単価が0円：要確認"),IF(AND(Q28=0,G28&lt;&gt;"",G28&lt;&gt;I28),"OK（単位はマスター優先）","OK"))))))))))))</f>
        <v/>
      </c>
      <c r="O28" t="str">
        <f>IF(OR(C28="",C28="手入力（マスター外）"),"",IF(ISNUMBER(FIND("｜",C28)),LEFT(C28,FIND("｜",C28)-1),TRIM(C28)))</f>
        <v/>
      </c>
      <c r="P28" t="str">
        <f>IF(O28="","",IFERROR(MATCH(O28,tblItems[商品ID],0),"未登録"))</f>
        <v/>
      </c>
      <c r="Q28">
        <f>IF(C28="手入力（マスター外）",1,0)</f>
        <v>0</v>
      </c>
    </row>
    <row r="29" ht="30" customHeight="1">
      <c r="B29" s="28" t="n">
        <v>8</v>
      </c>
      <c r="C29" s="29" t="n"/>
      <c r="D29" s="30" t="n"/>
      <c r="E29" s="31" t="n"/>
      <c r="F29" s="29" t="n"/>
      <c r="G29" s="32" t="n"/>
      <c r="H29" s="33" t="str">
        <f>IF(AND(C29="",D29="",E29="",F29="",G29=""),"",IF(Q29=1,F29&amp;"",IF(ISNUMBER(P29),INDEX(tblItems[品名],P29)&amp;IF(INDEX(tblItems[仕様・型式],P29)&amp;""&lt;&gt;"","（"&amp;INDEX(tblItems[仕様・型式],P29)&amp;"）","")&amp;IF(F29&lt;&gt;"","／"&amp;F29,""),"")))</f>
        <v/>
      </c>
      <c r="I29" s="34" t="str">
        <f>IF(AND(C29="",D29="",E29="",F29="",G29=""),"",IF(Q29=1,G29&amp;"",IF(ISNUMBER(P29),INDEX(tblItems[単位],P29)&amp;"","")))</f>
        <v/>
      </c>
      <c r="J29" s="35" t="str">
        <f>IF(ISNUMBER(P29),INDEX(tblItems[標準単価（税抜）],P29),"")</f>
        <v/>
      </c>
      <c r="K29" s="35" t="str">
        <f>IF(AND(C29="",D29="",E29="",F29="",G29=""),"",IF(E29&lt;&gt;"",E29,IF(Q29=1,"",J29)))</f>
        <v/>
      </c>
      <c r="L29" s="35" t="str">
        <f>IF(LEFT(M29,2)="OK",IF(RoundLine="切り上げ",ROUNDUP(ROUND(D29*K29,6),0),IF(RoundLine="四捨五入",ROUND(D29*K29,0),ROUNDDOWN(ROUND(D29*K29,6),0))),IF(M29="","","要確認"))</f>
        <v/>
      </c>
      <c r="M29" s="33" t="str">
        <f>IF(AND(C29="",D29="",E29="",F29="",G29=""),"",IF(C29="","入力未完了：商品を選択",IF(AND(Q29=0,P29="未登録"),"未登録の商品ID（"&amp;O29&amp;"）",IF(D29="","入力未完了：数量なし",IF(NOT(ISNUMBER(D29)),"数量が数値ではない",IF(D29&lt;=0,"数量は0より大きく",IF(AND(E29&lt;&gt;"",NOT(ISNUMBER(E29))),"単価の上書きが数値ではない",IF(AND(ISNUMBER(E29),N(E29)&lt;0),"単価はマイナス不可",IF(AND(Q29=1,OR(F29="",G29="",E29="")),"手入力は品名・単位・単価の上書きが必要",IF(NOT(ISNUMBER(K29)),"マスター単価が未設定",IF(N(K29)=0,IF(OR(ISNUMBER(E29),IF(Q29=0,INDEX(tblItems[無償扱い],P29)&amp;"","")="はい"),"OK（無償）","マスター単価が0円：要確認"),IF(AND(Q29=0,G29&lt;&gt;"",G29&lt;&gt;I29),"OK（単位はマスター優先）","OK"))))))))))))</f>
        <v/>
      </c>
      <c r="O29" t="str">
        <f>IF(OR(C29="",C29="手入力（マスター外）"),"",IF(ISNUMBER(FIND("｜",C29)),LEFT(C29,FIND("｜",C29)-1),TRIM(C29)))</f>
        <v/>
      </c>
      <c r="P29" t="str">
        <f>IF(O29="","",IFERROR(MATCH(O29,tblItems[商品ID],0),"未登録"))</f>
        <v/>
      </c>
      <c r="Q29">
        <f>IF(C29="手入力（マスター外）",1,0)</f>
        <v>0</v>
      </c>
    </row>
    <row r="30" ht="30" customHeight="1">
      <c r="B30" s="28" t="n">
        <v>9</v>
      </c>
      <c r="C30" s="29" t="n"/>
      <c r="D30" s="30" t="n"/>
      <c r="E30" s="31" t="n"/>
      <c r="F30" s="29" t="n"/>
      <c r="G30" s="32" t="n"/>
      <c r="H30" s="33" t="str">
        <f>IF(AND(C30="",D30="",E30="",F30="",G30=""),"",IF(Q30=1,F30&amp;"",IF(ISNUMBER(P30),INDEX(tblItems[品名],P30)&amp;IF(INDEX(tblItems[仕様・型式],P30)&amp;""&lt;&gt;"","（"&amp;INDEX(tblItems[仕様・型式],P30)&amp;"）","")&amp;IF(F30&lt;&gt;"","／"&amp;F30,""),"")))</f>
        <v/>
      </c>
      <c r="I30" s="34" t="str">
        <f>IF(AND(C30="",D30="",E30="",F30="",G30=""),"",IF(Q30=1,G30&amp;"",IF(ISNUMBER(P30),INDEX(tblItems[単位],P30)&amp;"","")))</f>
        <v/>
      </c>
      <c r="J30" s="35" t="str">
        <f>IF(ISNUMBER(P30),INDEX(tblItems[標準単価（税抜）],P30),"")</f>
        <v/>
      </c>
      <c r="K30" s="35" t="str">
        <f>IF(AND(C30="",D30="",E30="",F30="",G30=""),"",IF(E30&lt;&gt;"",E30,IF(Q30=1,"",J30)))</f>
        <v/>
      </c>
      <c r="L30" s="35" t="str">
        <f>IF(LEFT(M30,2)="OK",IF(RoundLine="切り上げ",ROUNDUP(ROUND(D30*K30,6),0),IF(RoundLine="四捨五入",ROUND(D30*K30,0),ROUNDDOWN(ROUND(D30*K30,6),0))),IF(M30="","","要確認"))</f>
        <v/>
      </c>
      <c r="M30" s="33" t="str">
        <f>IF(AND(C30="",D30="",E30="",F30="",G30=""),"",IF(C30="","入力未完了：商品を選択",IF(AND(Q30=0,P30="未登録"),"未登録の商品ID（"&amp;O30&amp;"）",IF(D30="","入力未完了：数量なし",IF(NOT(ISNUMBER(D30)),"数量が数値ではない",IF(D30&lt;=0,"数量は0より大きく",IF(AND(E30&lt;&gt;"",NOT(ISNUMBER(E30))),"単価の上書きが数値ではない",IF(AND(ISNUMBER(E30),N(E30)&lt;0),"単価はマイナス不可",IF(AND(Q30=1,OR(F30="",G30="",E30="")),"手入力は品名・単位・単価の上書きが必要",IF(NOT(ISNUMBER(K30)),"マスター単価が未設定",IF(N(K30)=0,IF(OR(ISNUMBER(E30),IF(Q30=0,INDEX(tblItems[無償扱い],P30)&amp;"","")="はい"),"OK（無償）","マスター単価が0円：要確認"),IF(AND(Q30=0,G30&lt;&gt;"",G30&lt;&gt;I30),"OK（単位はマスター優先）","OK"))))))))))))</f>
        <v/>
      </c>
      <c r="O30" t="str">
        <f>IF(OR(C30="",C30="手入力（マスター外）"),"",IF(ISNUMBER(FIND("｜",C30)),LEFT(C30,FIND("｜",C30)-1),TRIM(C30)))</f>
        <v/>
      </c>
      <c r="P30" t="str">
        <f>IF(O30="","",IFERROR(MATCH(O30,tblItems[商品ID],0),"未登録"))</f>
        <v/>
      </c>
      <c r="Q30">
        <f>IF(C30="手入力（マスター外）",1,0)</f>
        <v>0</v>
      </c>
    </row>
    <row r="31" ht="30" customHeight="1">
      <c r="B31" s="28" t="n">
        <v>10</v>
      </c>
      <c r="C31" s="29" t="n"/>
      <c r="D31" s="30" t="n"/>
      <c r="E31" s="31" t="n"/>
      <c r="F31" s="29" t="n"/>
      <c r="G31" s="32" t="n"/>
      <c r="H31" s="33" t="str">
        <f>IF(AND(C31="",D31="",E31="",F31="",G31=""),"",IF(Q31=1,F31&amp;"",IF(ISNUMBER(P31),INDEX(tblItems[品名],P31)&amp;IF(INDEX(tblItems[仕様・型式],P31)&amp;""&lt;&gt;"","（"&amp;INDEX(tblItems[仕様・型式],P31)&amp;"）","")&amp;IF(F31&lt;&gt;"","／"&amp;F31,""),"")))</f>
        <v/>
      </c>
      <c r="I31" s="34" t="str">
        <f>IF(AND(C31="",D31="",E31="",F31="",G31=""),"",IF(Q31=1,G31&amp;"",IF(ISNUMBER(P31),INDEX(tblItems[単位],P31)&amp;"","")))</f>
        <v/>
      </c>
      <c r="J31" s="35" t="str">
        <f>IF(ISNUMBER(P31),INDEX(tblItems[標準単価（税抜）],P31),"")</f>
        <v/>
      </c>
      <c r="K31" s="35" t="str">
        <f>IF(AND(C31="",D31="",E31="",F31="",G31=""),"",IF(E31&lt;&gt;"",E31,IF(Q31=1,"",J31)))</f>
        <v/>
      </c>
      <c r="L31" s="35" t="str">
        <f>IF(LEFT(M31,2)="OK",IF(RoundLine="切り上げ",ROUNDUP(ROUND(D31*K31,6),0),IF(RoundLine="四捨五入",ROUND(D31*K31,0),ROUNDDOWN(ROUND(D31*K31,6),0))),IF(M31="","","要確認"))</f>
        <v/>
      </c>
      <c r="M31" s="33" t="str">
        <f>IF(AND(C31="",D31="",E31="",F31="",G31=""),"",IF(C31="","入力未完了：商品を選択",IF(AND(Q31=0,P31="未登録"),"未登録の商品ID（"&amp;O31&amp;"）",IF(D31="","入力未完了：数量なし",IF(NOT(ISNUMBER(D31)),"数量が数値ではない",IF(D31&lt;=0,"数量は0より大きく",IF(AND(E31&lt;&gt;"",NOT(ISNUMBER(E31))),"単価の上書きが数値ではない",IF(AND(ISNUMBER(E31),N(E31)&lt;0),"単価はマイナス不可",IF(AND(Q31=1,OR(F31="",G31="",E31="")),"手入力は品名・単位・単価の上書きが必要",IF(NOT(ISNUMBER(K31)),"マスター単価が未設定",IF(N(K31)=0,IF(OR(ISNUMBER(E31),IF(Q31=0,INDEX(tblItems[無償扱い],P31)&amp;"","")="はい"),"OK（無償）","マスター単価が0円：要確認"),IF(AND(Q31=0,G31&lt;&gt;"",G31&lt;&gt;I31),"OK（単位はマスター優先）","OK"))))))))))))</f>
        <v/>
      </c>
      <c r="O31" t="str">
        <f>IF(OR(C31="",C31="手入力（マスター外）"),"",IF(ISNUMBER(FIND("｜",C31)),LEFT(C31,FIND("｜",C31)-1),TRIM(C31)))</f>
        <v/>
      </c>
      <c r="P31" t="str">
        <f>IF(O31="","",IFERROR(MATCH(O31,tblItems[商品ID],0),"未登録"))</f>
        <v/>
      </c>
      <c r="Q31">
        <f>IF(C31="手入力（マスター外）",1,0)</f>
        <v>0</v>
      </c>
    </row>
    <row r="32" ht="30" customHeight="1">
      <c r="B32" s="28" t="n">
        <v>11</v>
      </c>
      <c r="C32" s="29" t="n"/>
      <c r="D32" s="30" t="n"/>
      <c r="E32" s="31" t="n"/>
      <c r="F32" s="29" t="n"/>
      <c r="G32" s="32" t="n"/>
      <c r="H32" s="33" t="str">
        <f>IF(AND(C32="",D32="",E32="",F32="",G32=""),"",IF(Q32=1,F32&amp;"",IF(ISNUMBER(P32),INDEX(tblItems[品名],P32)&amp;IF(INDEX(tblItems[仕様・型式],P32)&amp;""&lt;&gt;"","（"&amp;INDEX(tblItems[仕様・型式],P32)&amp;"）","")&amp;IF(F32&lt;&gt;"","／"&amp;F32,""),"")))</f>
        <v/>
      </c>
      <c r="I32" s="34" t="str">
        <f>IF(AND(C32="",D32="",E32="",F32="",G32=""),"",IF(Q32=1,G32&amp;"",IF(ISNUMBER(P32),INDEX(tblItems[単位],P32)&amp;"","")))</f>
        <v/>
      </c>
      <c r="J32" s="35" t="str">
        <f>IF(ISNUMBER(P32),INDEX(tblItems[標準単価（税抜）],P32),"")</f>
        <v/>
      </c>
      <c r="K32" s="35" t="str">
        <f>IF(AND(C32="",D32="",E32="",F32="",G32=""),"",IF(E32&lt;&gt;"",E32,IF(Q32=1,"",J32)))</f>
        <v/>
      </c>
      <c r="L32" s="35" t="str">
        <f>IF(LEFT(M32,2)="OK",IF(RoundLine="切り上げ",ROUNDUP(ROUND(D32*K32,6),0),IF(RoundLine="四捨五入",ROUND(D32*K32,0),ROUNDDOWN(ROUND(D32*K32,6),0))),IF(M32="","","要確認"))</f>
        <v/>
      </c>
      <c r="M32" s="33" t="str">
        <f>IF(AND(C32="",D32="",E32="",F32="",G32=""),"",IF(C32="","入力未完了：商品を選択",IF(AND(Q32=0,P32="未登録"),"未登録の商品ID（"&amp;O32&amp;"）",IF(D32="","入力未完了：数量なし",IF(NOT(ISNUMBER(D32)),"数量が数値ではない",IF(D32&lt;=0,"数量は0より大きく",IF(AND(E32&lt;&gt;"",NOT(ISNUMBER(E32))),"単価の上書きが数値ではない",IF(AND(ISNUMBER(E32),N(E32)&lt;0),"単価はマイナス不可",IF(AND(Q32=1,OR(F32="",G32="",E32="")),"手入力は品名・単位・単価の上書きが必要",IF(NOT(ISNUMBER(K32)),"マスター単価が未設定",IF(N(K32)=0,IF(OR(ISNUMBER(E32),IF(Q32=0,INDEX(tblItems[無償扱い],P32)&amp;"","")="はい"),"OK（無償）","マスター単価が0円：要確認"),IF(AND(Q32=0,G32&lt;&gt;"",G32&lt;&gt;I32),"OK（単位はマスター優先）","OK"))))))))))))</f>
        <v/>
      </c>
      <c r="O32" t="str">
        <f>IF(OR(C32="",C32="手入力（マスター外）"),"",IF(ISNUMBER(FIND("｜",C32)),LEFT(C32,FIND("｜",C32)-1),TRIM(C32)))</f>
        <v/>
      </c>
      <c r="P32" t="str">
        <f>IF(O32="","",IFERROR(MATCH(O32,tblItems[商品ID],0),"未登録"))</f>
        <v/>
      </c>
      <c r="Q32">
        <f>IF(C32="手入力（マスター外）",1,0)</f>
        <v>0</v>
      </c>
    </row>
    <row r="33" ht="30" customHeight="1">
      <c r="B33" s="28" t="n">
        <v>12</v>
      </c>
      <c r="C33" s="29" t="n"/>
      <c r="D33" s="30" t="n"/>
      <c r="E33" s="31" t="n"/>
      <c r="F33" s="29" t="n"/>
      <c r="G33" s="32" t="n"/>
      <c r="H33" s="33" t="str">
        <f>IF(AND(C33="",D33="",E33="",F33="",G33=""),"",IF(Q33=1,F33&amp;"",IF(ISNUMBER(P33),INDEX(tblItems[品名],P33)&amp;IF(INDEX(tblItems[仕様・型式],P33)&amp;""&lt;&gt;"","（"&amp;INDEX(tblItems[仕様・型式],P33)&amp;"）","")&amp;IF(F33&lt;&gt;"","／"&amp;F33,""),"")))</f>
        <v/>
      </c>
      <c r="I33" s="34" t="str">
        <f>IF(AND(C33="",D33="",E33="",F33="",G33=""),"",IF(Q33=1,G33&amp;"",IF(ISNUMBER(P33),INDEX(tblItems[単位],P33)&amp;"","")))</f>
        <v/>
      </c>
      <c r="J33" s="35" t="str">
        <f>IF(ISNUMBER(P33),INDEX(tblItems[標準単価（税抜）],P33),"")</f>
        <v/>
      </c>
      <c r="K33" s="35" t="str">
        <f>IF(AND(C33="",D33="",E33="",F33="",G33=""),"",IF(E33&lt;&gt;"",E33,IF(Q33=1,"",J33)))</f>
        <v/>
      </c>
      <c r="L33" s="35" t="str">
        <f>IF(LEFT(M33,2)="OK",IF(RoundLine="切り上げ",ROUNDUP(ROUND(D33*K33,6),0),IF(RoundLine="四捨五入",ROUND(D33*K33,0),ROUNDDOWN(ROUND(D33*K33,6),0))),IF(M33="","","要確認"))</f>
        <v/>
      </c>
      <c r="M33" s="33" t="str">
        <f>IF(AND(C33="",D33="",E33="",F33="",G33=""),"",IF(C33="","入力未完了：商品を選択",IF(AND(Q33=0,P33="未登録"),"未登録の商品ID（"&amp;O33&amp;"）",IF(D33="","入力未完了：数量なし",IF(NOT(ISNUMBER(D33)),"数量が数値ではない",IF(D33&lt;=0,"数量は0より大きく",IF(AND(E33&lt;&gt;"",NOT(ISNUMBER(E33))),"単価の上書きが数値ではない",IF(AND(ISNUMBER(E33),N(E33)&lt;0),"単価はマイナス不可",IF(AND(Q33=1,OR(F33="",G33="",E33="")),"手入力は品名・単位・単価の上書きが必要",IF(NOT(ISNUMBER(K33)),"マスター単価が未設定",IF(N(K33)=0,IF(OR(ISNUMBER(E33),IF(Q33=0,INDEX(tblItems[無償扱い],P33)&amp;"","")="はい"),"OK（無償）","マスター単価が0円：要確認"),IF(AND(Q33=0,G33&lt;&gt;"",G33&lt;&gt;I33),"OK（単位はマスター優先）","OK"))))))))))))</f>
        <v/>
      </c>
      <c r="O33" t="str">
        <f>IF(OR(C33="",C33="手入力（マスター外）"),"",IF(ISNUMBER(FIND("｜",C33)),LEFT(C33,FIND("｜",C33)-1),TRIM(C33)))</f>
        <v/>
      </c>
      <c r="P33" t="str">
        <f>IF(O33="","",IFERROR(MATCH(O33,tblItems[商品ID],0),"未登録"))</f>
        <v/>
      </c>
      <c r="Q33">
        <f>IF(C33="手入力（マスター外）",1,0)</f>
        <v>0</v>
      </c>
    </row>
    <row r="34" ht="30" customHeight="1">
      <c r="B34" s="28" t="n">
        <v>13</v>
      </c>
      <c r="C34" s="29" t="n"/>
      <c r="D34" s="30" t="n"/>
      <c r="E34" s="31" t="n"/>
      <c r="F34" s="29" t="n"/>
      <c r="G34" s="32" t="n"/>
      <c r="H34" s="33" t="str">
        <f>IF(AND(C34="",D34="",E34="",F34="",G34=""),"",IF(Q34=1,F34&amp;"",IF(ISNUMBER(P34),INDEX(tblItems[品名],P34)&amp;IF(INDEX(tblItems[仕様・型式],P34)&amp;""&lt;&gt;"","（"&amp;INDEX(tblItems[仕様・型式],P34)&amp;"）","")&amp;IF(F34&lt;&gt;"","／"&amp;F34,""),"")))</f>
        <v/>
      </c>
      <c r="I34" s="34" t="str">
        <f>IF(AND(C34="",D34="",E34="",F34="",G34=""),"",IF(Q34=1,G34&amp;"",IF(ISNUMBER(P34),INDEX(tblItems[単位],P34)&amp;"","")))</f>
        <v/>
      </c>
      <c r="J34" s="35" t="str">
        <f>IF(ISNUMBER(P34),INDEX(tblItems[標準単価（税抜）],P34),"")</f>
        <v/>
      </c>
      <c r="K34" s="35" t="str">
        <f>IF(AND(C34="",D34="",E34="",F34="",G34=""),"",IF(E34&lt;&gt;"",E34,IF(Q34=1,"",J34)))</f>
        <v/>
      </c>
      <c r="L34" s="35" t="str">
        <f>IF(LEFT(M34,2)="OK",IF(RoundLine="切り上げ",ROUNDUP(ROUND(D34*K34,6),0),IF(RoundLine="四捨五入",ROUND(D34*K34,0),ROUNDDOWN(ROUND(D34*K34,6),0))),IF(M34="","","要確認"))</f>
        <v/>
      </c>
      <c r="M34" s="33" t="str">
        <f>IF(AND(C34="",D34="",E34="",F34="",G34=""),"",IF(C34="","入力未完了：商品を選択",IF(AND(Q34=0,P34="未登録"),"未登録の商品ID（"&amp;O34&amp;"）",IF(D34="","入力未完了：数量なし",IF(NOT(ISNUMBER(D34)),"数量が数値ではない",IF(D34&lt;=0,"数量は0より大きく",IF(AND(E34&lt;&gt;"",NOT(ISNUMBER(E34))),"単価の上書きが数値ではない",IF(AND(ISNUMBER(E34),N(E34)&lt;0),"単価はマイナス不可",IF(AND(Q34=1,OR(F34="",G34="",E34="")),"手入力は品名・単位・単価の上書きが必要",IF(NOT(ISNUMBER(K34)),"マスター単価が未設定",IF(N(K34)=0,IF(OR(ISNUMBER(E34),IF(Q34=0,INDEX(tblItems[無償扱い],P34)&amp;"","")="はい"),"OK（無償）","マスター単価が0円：要確認"),IF(AND(Q34=0,G34&lt;&gt;"",G34&lt;&gt;I34),"OK（単位はマスター優先）","OK"))))))))))))</f>
        <v/>
      </c>
      <c r="O34" t="str">
        <f>IF(OR(C34="",C34="手入力（マスター外）"),"",IF(ISNUMBER(FIND("｜",C34)),LEFT(C34,FIND("｜",C34)-1),TRIM(C34)))</f>
        <v/>
      </c>
      <c r="P34" t="str">
        <f>IF(O34="","",IFERROR(MATCH(O34,tblItems[商品ID],0),"未登録"))</f>
        <v/>
      </c>
      <c r="Q34">
        <f>IF(C34="手入力（マスター外）",1,0)</f>
        <v>0</v>
      </c>
    </row>
    <row r="35" ht="30" customHeight="1">
      <c r="B35" s="28" t="n">
        <v>14</v>
      </c>
      <c r="C35" s="29" t="n"/>
      <c r="D35" s="30" t="n"/>
      <c r="E35" s="31" t="n"/>
      <c r="F35" s="29" t="n"/>
      <c r="G35" s="32" t="n"/>
      <c r="H35" s="33" t="str">
        <f>IF(AND(C35="",D35="",E35="",F35="",G35=""),"",IF(Q35=1,F35&amp;"",IF(ISNUMBER(P35),INDEX(tblItems[品名],P35)&amp;IF(INDEX(tblItems[仕様・型式],P35)&amp;""&lt;&gt;"","（"&amp;INDEX(tblItems[仕様・型式],P35)&amp;"）","")&amp;IF(F35&lt;&gt;"","／"&amp;F35,""),"")))</f>
        <v/>
      </c>
      <c r="I35" s="34" t="str">
        <f>IF(AND(C35="",D35="",E35="",F35="",G35=""),"",IF(Q35=1,G35&amp;"",IF(ISNUMBER(P35),INDEX(tblItems[単位],P35)&amp;"","")))</f>
        <v/>
      </c>
      <c r="J35" s="35" t="str">
        <f>IF(ISNUMBER(P35),INDEX(tblItems[標準単価（税抜）],P35),"")</f>
        <v/>
      </c>
      <c r="K35" s="35" t="str">
        <f>IF(AND(C35="",D35="",E35="",F35="",G35=""),"",IF(E35&lt;&gt;"",E35,IF(Q35=1,"",J35)))</f>
        <v/>
      </c>
      <c r="L35" s="35" t="str">
        <f>IF(LEFT(M35,2)="OK",IF(RoundLine="切り上げ",ROUNDUP(ROUND(D35*K35,6),0),IF(RoundLine="四捨五入",ROUND(D35*K35,0),ROUNDDOWN(ROUND(D35*K35,6),0))),IF(M35="","","要確認"))</f>
        <v/>
      </c>
      <c r="M35" s="33" t="str">
        <f>IF(AND(C35="",D35="",E35="",F35="",G35=""),"",IF(C35="","入力未完了：商品を選択",IF(AND(Q35=0,P35="未登録"),"未登録の商品ID（"&amp;O35&amp;"）",IF(D35="","入力未完了：数量なし",IF(NOT(ISNUMBER(D35)),"数量が数値ではない",IF(D35&lt;=0,"数量は0より大きく",IF(AND(E35&lt;&gt;"",NOT(ISNUMBER(E35))),"単価の上書きが数値ではない",IF(AND(ISNUMBER(E35),N(E35)&lt;0),"単価はマイナス不可",IF(AND(Q35=1,OR(F35="",G35="",E35="")),"手入力は品名・単位・単価の上書きが必要",IF(NOT(ISNUMBER(K35)),"マスター単価が未設定",IF(N(K35)=0,IF(OR(ISNUMBER(E35),IF(Q35=0,INDEX(tblItems[無償扱い],P35)&amp;"","")="はい"),"OK（無償）","マスター単価が0円：要確認"),IF(AND(Q35=0,G35&lt;&gt;"",G35&lt;&gt;I35),"OK（単位はマスター優先）","OK"))))))))))))</f>
        <v/>
      </c>
      <c r="O35" t="str">
        <f>IF(OR(C35="",C35="手入力（マスター外）"),"",IF(ISNUMBER(FIND("｜",C35)),LEFT(C35,FIND("｜",C35)-1),TRIM(C35)))</f>
        <v/>
      </c>
      <c r="P35" t="str">
        <f>IF(O35="","",IFERROR(MATCH(O35,tblItems[商品ID],0),"未登録"))</f>
        <v/>
      </c>
      <c r="Q35">
        <f>IF(C35="手入力（マスター外）",1,0)</f>
        <v>0</v>
      </c>
    </row>
    <row r="36" ht="30" customHeight="1">
      <c r="B36" s="28" t="n">
        <v>15</v>
      </c>
      <c r="C36" s="29" t="n"/>
      <c r="D36" s="30" t="n"/>
      <c r="E36" s="31" t="n"/>
      <c r="F36" s="29" t="n"/>
      <c r="G36" s="32" t="n"/>
      <c r="H36" s="33" t="str">
        <f>IF(AND(C36="",D36="",E36="",F36="",G36=""),"",IF(Q36=1,F36&amp;"",IF(ISNUMBER(P36),INDEX(tblItems[品名],P36)&amp;IF(INDEX(tblItems[仕様・型式],P36)&amp;""&lt;&gt;"","（"&amp;INDEX(tblItems[仕様・型式],P36)&amp;"）","")&amp;IF(F36&lt;&gt;"","／"&amp;F36,""),"")))</f>
        <v/>
      </c>
      <c r="I36" s="34" t="str">
        <f>IF(AND(C36="",D36="",E36="",F36="",G36=""),"",IF(Q36=1,G36&amp;"",IF(ISNUMBER(P36),INDEX(tblItems[単位],P36)&amp;"","")))</f>
        <v/>
      </c>
      <c r="J36" s="35" t="str">
        <f>IF(ISNUMBER(P36),INDEX(tblItems[標準単価（税抜）],P36),"")</f>
        <v/>
      </c>
      <c r="K36" s="35" t="str">
        <f>IF(AND(C36="",D36="",E36="",F36="",G36=""),"",IF(E36&lt;&gt;"",E36,IF(Q36=1,"",J36)))</f>
        <v/>
      </c>
      <c r="L36" s="35" t="str">
        <f>IF(LEFT(M36,2)="OK",IF(RoundLine="切り上げ",ROUNDUP(ROUND(D36*K36,6),0),IF(RoundLine="四捨五入",ROUND(D36*K36,0),ROUNDDOWN(ROUND(D36*K36,6),0))),IF(M36="","","要確認"))</f>
        <v/>
      </c>
      <c r="M36" s="33" t="str">
        <f>IF(AND(C36="",D36="",E36="",F36="",G36=""),"",IF(C36="","入力未完了：商品を選択",IF(AND(Q36=0,P36="未登録"),"未登録の商品ID（"&amp;O36&amp;"）",IF(D36="","入力未完了：数量なし",IF(NOT(ISNUMBER(D36)),"数量が数値ではない",IF(D36&lt;=0,"数量は0より大きく",IF(AND(E36&lt;&gt;"",NOT(ISNUMBER(E36))),"単価の上書きが数値ではない",IF(AND(ISNUMBER(E36),N(E36)&lt;0),"単価はマイナス不可",IF(AND(Q36=1,OR(F36="",G36="",E36="")),"手入力は品名・単位・単価の上書きが必要",IF(NOT(ISNUMBER(K36)),"マスター単価が未設定",IF(N(K36)=0,IF(OR(ISNUMBER(E36),IF(Q36=0,INDEX(tblItems[無償扱い],P36)&amp;"","")="はい"),"OK（無償）","マスター単価が0円：要確認"),IF(AND(Q36=0,G36&lt;&gt;"",G36&lt;&gt;I36),"OK（単位はマスター優先）","OK"))))))))))))</f>
        <v/>
      </c>
      <c r="O36" t="str">
        <f>IF(OR(C36="",C36="手入力（マスター外）"),"",IF(ISNUMBER(FIND("｜",C36)),LEFT(C36,FIND("｜",C36)-1),TRIM(C36)))</f>
        <v/>
      </c>
      <c r="P36" t="str">
        <f>IF(O36="","",IFERROR(MATCH(O36,tblItems[商品ID],0),"未登録"))</f>
        <v/>
      </c>
      <c r="Q36">
        <f>IF(C36="手入力（マスター外）",1,0)</f>
        <v>0</v>
      </c>
    </row>
    <row r="37" ht="18" customHeight="1">
      <c r="B37" s="36" t="inlineStr">
        <is>
          <t>▲ 明細は15行までです。この表に行を挿入・削除しないでください（16件以上は見積を分けるか別紙に）。</t>
        </is>
      </c>
    </row>
    <row r="38" ht="24" customHeight="1">
      <c r="B38" s="37" t="str">
        <f>"参考：状態が OK の行だけの合計（税抜）＝ "&amp;TEXT(SUMIF(M22:M36,"OK*",L22:L36),"#,##0")&amp;" 円／OK の行 "&amp;COUNTIF(M22:M36,"OK*")&amp;" 行・要確認の行 "&amp;(COUNTIF(M22:M36,"?*")-COUNTIF(M22:M36,"OK*"))&amp;" 行"&amp;CHAR(10)&amp;"金額＝数量×適用単価（円未満"&amp;RoundLine&amp;"）。適用単価＝単価の上書きがあればその値、なければマスター単価。"&amp;CHAR(10)&amp;"マスター品目の品名・単位はマスターが優先（補足欄は品名の後ろに追記）。"</f>
        <v>参考：状態が OK の行だけの合計（税抜）＝ 0 円／OK の行 0 行・要確認の行 0 行
金額＝数量×適用単価（円未満切り捨て）。適用単価＝単価の上書きがあればその値、なければマスター単価。
マスター品目の品名・単位はマスターが優先（補足欄は品名の後ろに追記）。</v>
      </c>
      <c r="J38" s="38" t="inlineStr">
        <is>
          <t>小計（税抜）</t>
        </is>
      </c>
      <c r="L38" s="39" t="str">
        <f>IF(QErr&gt;0,"要確認",SUM(L22:L36))</f>
        <v>要確認</v>
      </c>
    </row>
    <row r="39" ht="24" customHeight="1">
      <c r="J39" s="38" t="str">
        <f>"消費税（"&amp;TEXT(TaxRate,"0%")&amp;"・"&amp;RoundTax&amp;"）"</f>
        <v>消費税（10%・切り捨て）</v>
      </c>
      <c r="L39" s="39" t="str">
        <f>IF(QErr&gt;0,"要確認",IF(RoundTax="切り上げ",ROUNDUP(ROUND(Q_Sub*TaxRate,6),0),IF(RoundTax="四捨五入",ROUND(Q_Sub*TaxRate,0),ROUNDDOWN(ROUND(Q_Sub*TaxRate,6),0))))</f>
        <v>要確認</v>
      </c>
    </row>
    <row r="40" ht="24" customHeight="1">
      <c r="J40" s="38" t="inlineStr">
        <is>
          <t>合計（税込）</t>
        </is>
      </c>
      <c r="L40" s="40" t="str">
        <f>IF(QErr&gt;0,"要確認",Q_Sub+Q_Tax)</f>
        <v>要確認</v>
      </c>
      <c r="R40" t="str">
        <f>IF(Q_No="","見積番号が空欄","")</f>
        <v>見積番号が空欄</v>
      </c>
    </row>
    <row r="41">
      <c r="R41" t="str">
        <f>IF(OR(Q_Ver="",NOT(ISNUMBER(Q_Ver)),N(Q_Ver)&lt;1,N(Q_Ver)&lt;&gt;INT(N(Q_Ver))),"版を確認","")</f>
        <v>版を確認</v>
      </c>
    </row>
    <row r="42">
      <c r="R42" t="str">
        <f>IF(OR(Q_Date="",NOT(ISNUMBER(Q_Date))),"発行日を確認","")</f>
        <v>発行日を確認</v>
      </c>
    </row>
    <row r="43">
      <c r="R43" t="str">
        <f>IF(AND(Q_Valid&lt;&gt;"",OR(NOT(ISNUMBER(Q_Valid)),N(Q_Valid)&lt;N(Q_Date))),"有効期限を確認","")</f>
        <v/>
      </c>
    </row>
    <row r="44">
      <c r="R44" t="str">
        <f>IF(Q_Cust="","顧客が未選択","")</f>
        <v>顧客が未選択</v>
      </c>
    </row>
    <row r="45">
      <c r="R45" t="str">
        <f>IF(Q_CustRow="未登録","未登録の顧客","")</f>
        <v/>
      </c>
    </row>
    <row r="46">
      <c r="R46" t="str">
        <f>IF(Q_Title="","案件名が空欄","")</f>
        <v>案件名が空欄</v>
      </c>
    </row>
    <row r="47">
      <c r="R47" t="str">
        <f>IF(COUNTIF(M22:M36,"OK*")=0,"明細がありません","")</f>
        <v>明細がありません</v>
      </c>
    </row>
    <row r="48">
      <c r="R48" t="str">
        <f>IF(COUNTIF(M22:M36,"?*")-COUNTIF(M22:M36,"OK*")&gt;0,"明細に要確認の行があります","")</f>
        <v/>
      </c>
    </row>
    <row r="49">
      <c r="R49" t="str">
        <f>IF(Q_LineRows&lt;&gt;15,"明細の行数が変わっています（行の挿入・削除を元に戻す）","")</f>
        <v/>
      </c>
    </row>
    <row r="50">
      <c r="R50" t="str">
        <f>IF(LEN(Q_Note1&amp;Q_Note2&amp;Q_Note3)&gt;180,"備考が長すぎます","")</f>
        <v/>
      </c>
    </row>
    <row r="51">
      <c r="R51" t="str">
        <f>IF(Iss_Name="","発行元の会社名が未入力（05_設定）","")</f>
        <v>発行元の会社名が未入力（05_設定）</v>
      </c>
    </row>
    <row r="52">
      <c r="R52" t="str">
        <f>IF(OR(NOT(ISNUMBER(TaxRate)),N(TaxRate)&lt;0,N(TaxRate)&gt;1),"税率を確認（05_設定）","")</f>
        <v/>
      </c>
    </row>
    <row r="53">
      <c r="R53" t="str">
        <f>IF(AND(RoundTax&lt;&gt;"切り捨て",RoundTax&lt;&gt;"四捨五入",RoundTax&lt;&gt;"切り上げ"),"税の端数処理を確認（05_設定）","")</f>
        <v/>
      </c>
    </row>
    <row r="54">
      <c r="R54" t="str">
        <f>IF(AND(RoundLine&lt;&gt;"切り捨て",RoundLine&lt;&gt;"四捨五入",RoundLine&lt;&gt;"切り上げ"),"明細の端数処理を確認（05_設定）","")</f>
        <v/>
      </c>
    </row>
    <row r="60">
      <c r="R60">
        <f>COUNTIF(R40:R54,"?*")</f>
        <v>7</v>
      </c>
    </row>
    <row r="61">
      <c r="R61" t="str">
        <f>_xlfn.TEXTJOIN("／",TRUE,R40:R54)</f>
        <v>見積番号が空欄／版を確認／発行日を確認／顧客が未選択／案件名が空欄／明細がありません／発行元の会社名が未入力（05_設定）</v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52">
    <mergeCell ref="J39:K39"/>
    <mergeCell ref="F4:G4"/>
    <mergeCell ref="D18:G18"/>
    <mergeCell ref="B16:C16"/>
    <mergeCell ref="D9:G9"/>
    <mergeCell ref="B7:C7"/>
    <mergeCell ref="D12:G12"/>
    <mergeCell ref="J38:K38"/>
    <mergeCell ref="D8:G8"/>
    <mergeCell ref="D15:G15"/>
    <mergeCell ref="H17:M17"/>
    <mergeCell ref="H11:M11"/>
    <mergeCell ref="B18:C18"/>
    <mergeCell ref="D14:G14"/>
    <mergeCell ref="H16:M16"/>
    <mergeCell ref="B12:C12"/>
    <mergeCell ref="J40:K40"/>
    <mergeCell ref="H7:M7"/>
    <mergeCell ref="K2:M2"/>
    <mergeCell ref="B11:C11"/>
    <mergeCell ref="B37:M37"/>
    <mergeCell ref="H13:M13"/>
    <mergeCell ref="B14:C14"/>
    <mergeCell ref="B17:C17"/>
    <mergeCell ref="D10:G10"/>
    <mergeCell ref="H12:M12"/>
    <mergeCell ref="B8:C8"/>
    <mergeCell ref="B13:C13"/>
    <mergeCell ref="H15:M15"/>
    <mergeCell ref="H18:M18"/>
    <mergeCell ref="D6:G6"/>
    <mergeCell ref="H14:M14"/>
    <mergeCell ref="B10:C10"/>
    <mergeCell ref="D4:E4"/>
    <mergeCell ref="H8:M8"/>
    <mergeCell ref="D11:G11"/>
    <mergeCell ref="D13:G13"/>
    <mergeCell ref="B9:C9"/>
    <mergeCell ref="B6:C6"/>
    <mergeCell ref="I4:J4"/>
    <mergeCell ref="D17:G17"/>
    <mergeCell ref="B15:C15"/>
    <mergeCell ref="B3:M3"/>
    <mergeCell ref="B4:C4"/>
    <mergeCell ref="H10:M10"/>
    <mergeCell ref="D16:G16"/>
    <mergeCell ref="D7:G7"/>
    <mergeCell ref="H9:M9"/>
    <mergeCell ref="B38:H40"/>
    <mergeCell ref="H6:M6"/>
    <mergeCell ref="B2:J2"/>
    <mergeCell ref="K1:M1"/>
  </mergeCells>
  <conditionalFormatting sqref="B3:M3">
    <cfRule type="expression" priority="1" dxfId="0" stopIfTrue="1">
      <formula>QErr&gt;0</formula>
    </cfRule>
    <cfRule type="expression" priority="2" dxfId="1" stopIfTrue="1">
      <formula>QErr=0</formula>
    </cfRule>
  </conditionalFormatting>
  <conditionalFormatting sqref="H6:M18">
    <cfRule type="expression" priority="3" dxfId="2" stopIfTrue="1">
      <formula>LEFT(H6,1)="⚠"</formula>
    </cfRule>
  </conditionalFormatting>
  <conditionalFormatting sqref="M22:M36">
    <cfRule type="expression" priority="4" dxfId="0" stopIfTrue="1">
      <formula>AND(M22&lt;&gt;"",LEFT(M22,2)&lt;&gt;"OK")</formula>
    </cfRule>
    <cfRule type="expression" priority="5" dxfId="3" stopIfTrue="1">
      <formula>LEFT(M22,3)="OK（"</formula>
    </cfRule>
  </conditionalFormatting>
  <conditionalFormatting sqref="L22:L36">
    <cfRule type="expression" priority="6" dxfId="0" stopIfTrue="1">
      <formula>L22="要確認"</formula>
    </cfRule>
  </conditionalFormatting>
  <conditionalFormatting sqref="L38:L40">
    <cfRule type="expression" priority="7" dxfId="0" stopIfTrue="1">
      <formula>L38="要確認"</formula>
    </cfRule>
  </conditionalFormatting>
  <dataValidations count="9">
    <dataValidation sqref="D7" showDropDown="0" showInputMessage="0" showErrorMessage="1" allowBlank="1" errorTitle="値を確認" error="版は 1〜99 の整数で入力してください。" type="whole" errorStyle="stop" operator="between">
      <formula1>1</formula1>
      <formula2>99</formula2>
    </dataValidation>
    <dataValidation sqref="D8" showDropDown="0" showInputMessage="0" showErrorMessage="1" allowBlank="1" errorTitle="日付を入力" error="日付（例 2026/10/05）を入力してください。" type="date" errorStyle="stop" operator="between">
      <formula1>36526</formula1>
      <formula2>73051</formula2>
    </dataValidation>
    <dataValidation sqref="D9" showDropDown="0" showInputMessage="0" showErrorMessage="1" allowBlank="1" errorTitle="日付を入力" error="日付（例 2026/10/05）を入力してください。" type="date" errorStyle="stop" operator="between">
      <formula1>36526</formula1>
      <formula2>73051</formula2>
    </dataValidation>
    <dataValidation sqref="D10" showDropDown="0" showInputMessage="1" showErrorMessage="1" allowBlank="1" errorTitle="候補から選択" error="候補一覧にない値です。候補から選ぶか、設定シートの候補一覧に追加してください。" promptTitle="選択してください" prompt="「顧客ID｜会社名（部署）」から選びます。同じ会社名でもIDで区別します。" type="list" errorStyle="stop">
      <formula1>=dv_Cust</formula1>
    </dataValidation>
    <dataValidation sqref="D15" showDropDown="0" showInputMessage="1" showErrorMessage="1" allowBlank="1" errorTitle="候補から選択" error="候補一覧にない値です。候補から選ぶか、設定シートの候補一覧に追加してください。" promptTitle="選択してください" prompt="候補から選ぶか、直接入力できます。空欄なら 05_設定 の既定。" type="list" errorStyle="warning">
      <formula1>=dv_Pay</formula1>
    </dataValidation>
    <dataValidation sqref="C22:C36" showDropDown="0" showInputMessage="1" showErrorMessage="1" allowBlank="1" errorTitle="候補から選択" error="候補一覧にない値です。候補から選ぶか、設定シートの候補一覧に追加してください。" promptTitle="選択してください" prompt="「商品ID｜品名（仕様）｜単価」から選びます。マスターにない品目は「手入力（マスター外）」。" type="list" errorStyle="stop">
      <formula1>=dv_Item</formula1>
    </dataValidation>
    <dataValidation sqref="D22:D36" showDropDown="0" showInputMessage="1" showErrorMessage="1" allowBlank="1" errorTitle="値を確認" error="数量は0より大きい数を入力してください（このまま登録すると行の状態が要確認になります）。" promptTitle="入力方法" prompt="0より大きい数。小数も可（例 1.5）。" type="decimal" errorStyle="warning" operator="greaterThan">
      <formula1>0</formula1>
    </dataValidation>
    <dataValidation sqref="E22:E36" showDropDown="0" showInputMessage="1" showErrorMessage="1" allowBlank="1" errorTitle="値を確認" error="範囲外の値です。このまま登録すると入力チェック欄に警告が表示されます。" promptTitle="入力方法" prompt="この見積だけ単価を変える場合に入力（税抜）。0円は無償として扱います。" type="decimal" errorStyle="warning" operator="between">
      <formula1>0</formula1>
      <formula2>100000000</formula2>
    </dataValidation>
    <dataValidation sqref="G22:G36" showDropDown="0" showInputMessage="1" showErrorMessage="1" allowBlank="1" errorTitle="候補から選択" error="候補一覧にない値です。候補から選ぶか、設定シートの候補一覧に追加してください。" promptTitle="選択してください" prompt="手入力の品目のときだけ使います。" type="list" errorStyle="warning">
      <formula1>=dv_Unit</formula1>
    </dataValidation>
  </dataValidations>
  <hyperlinks>
    <hyperlink ref="K2" location="'02_見積書'!A1" display="▶ ③ 02_見積書を確認する"/>
  </hyperlinks>
  <printOptions horizontalCentered="1"/>
  <pageMargins left="0.4" right="0.4" top="0.5" bottom="0.5" header="0.2" footer="0.2"/>
  <pageSetup orientation="landscape" paperSize="9" fitToHeight="0" fitToWidth="1"/>
  <headerFooter>
    <oddHeader/>
    <oddFooter>&amp;L&amp;8 &amp;A&amp;C&amp;8 &amp;P / &amp;N ページ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C9F45F"/>
    <outlinePr summaryBelow="1" summaryRight="1"/>
    <pageSetUpPr fitToPage="1"/>
  </sheetPr>
  <dimension ref="B2:G44"/>
  <sheetViews>
    <sheetView showGridLines="0" zoomScale="100" workbookViewId="0">
      <selection activeCell="A1" sqref="A1"/>
    </sheetView>
  </sheetViews>
  <sheetFormatPr baseColWidth="8" defaultRowHeight="15"/>
  <cols>
    <col width="2" customWidth="1" min="1" max="1"/>
    <col width="8.5" customWidth="1" min="2" max="2"/>
    <col width="36" customWidth="1" min="3" max="3"/>
    <col width="9" customWidth="1" min="4" max="4"/>
    <col width="7" customWidth="1" min="5" max="5"/>
    <col width="13" customWidth="1" min="6" max="6"/>
    <col width="16" customWidth="1" min="7" max="7"/>
    <col width="2" customWidth="1" min="8" max="8"/>
  </cols>
  <sheetData>
    <row r="1" ht="10" customHeight="1"/>
    <row r="2" ht="40" customHeight="1">
      <c r="B2" s="41" t="str">
        <f>DocTitle</f>
        <v>御見積書</v>
      </c>
      <c r="C2" s="42" t="n"/>
      <c r="D2" s="42" t="n"/>
      <c r="E2" s="42" t="n"/>
      <c r="F2" s="42" t="n"/>
      <c r="G2" s="42" t="n"/>
    </row>
    <row r="3" ht="20" customHeight="1">
      <c r="B3" s="43" t="str">
        <f>SampleMark&amp;IF(AND(SampleMark&lt;&gt;"",QErr&gt;0),"　","")&amp;IF(QErr&gt;0,"【下書き：入力要確認 "&amp;QErr&amp;" 件（01_入力の上部を確認）】","")</f>
        <v>【下書き：入力要確認 7 件（01_入力の上部を確認）】</v>
      </c>
    </row>
    <row r="4" ht="8" customHeight="1"/>
    <row r="5" ht="42" customHeight="1">
      <c r="B5" s="44" t="str">
        <f>IF(Q_CustRow="","（顧客を選択してください）",IF(Q_CustRow="未登録","（未登録の顧客）",IF(OR(Q_CustRow="",Q_CustRow="未登録"),"",INDEX(tblQCustomers[会社名],Q_CustRow)&amp;"")&amp;IF(IF(Q_Attn&lt;&gt;"",Q_Attn&amp;" 様",IF(IF(OR(Q_CustRow="",Q_CustRow="未登録"),"",INDEX(tblQCustomers[担当者名（既定）],Q_CustRow)&amp;"")&lt;&gt;"",TRIM(IF(OR(Q_CustRow="",Q_CustRow="未登録"),"",INDEX(tblQCustomers[部署（既定）],Q_CustRow)&amp;"")&amp;" "&amp;IF(OR(Q_CustRow="",Q_CustRow="未登録"),"",INDEX(tblQCustomers[担当者名（既定）],Q_CustRow)&amp;""))&amp;" "&amp;IF(IF(OR(Q_CustRow="",Q_CustRow="未登録"),"",INDEX(tblQCustomers[敬称],Q_CustRow)&amp;"")="","様",IF(OR(Q_CustRow="",Q_CustRow="未登録"),"",INDEX(tblQCustomers[敬称],Q_CustRow)&amp;"")),""))="",IF(IF(OR(Q_CustRow="",Q_CustRow="未登録"),"",INDEX(tblQCustomers[部署（既定）],Q_CustRow)&amp;"")&lt;&gt;""," "&amp;IF(OR(Q_CustRow="",Q_CustRow="未登録"),"",INDEX(tblQCustomers[部署（既定）],Q_CustRow)&amp;""),"")&amp;" 御中","")))</f>
        <v>（顧客を選択してください）</v>
      </c>
      <c r="F5" s="45" t="inlineStr">
        <is>
          <t>見積番号</t>
        </is>
      </c>
      <c r="G5" s="46" t="str">
        <f>IF(Q_No="","（未入力）",Q_No&amp;"")</f>
        <v>（未入力）</v>
      </c>
    </row>
    <row r="6" ht="24" customHeight="1">
      <c r="B6" s="47" t="str">
        <f>IF(Q_Attn&lt;&gt;"",Q_Attn&amp;" 様",IF(IF(OR(Q_CustRow="",Q_CustRow="未登録"),"",INDEX(tblQCustomers[担当者名（既定）],Q_CustRow)&amp;"")&lt;&gt;"",TRIM(IF(OR(Q_CustRow="",Q_CustRow="未登録"),"",INDEX(tblQCustomers[部署（既定）],Q_CustRow)&amp;"")&amp;" "&amp;IF(OR(Q_CustRow="",Q_CustRow="未登録"),"",INDEX(tblQCustomers[担当者名（既定）],Q_CustRow)&amp;""))&amp;" "&amp;IF(IF(OR(Q_CustRow="",Q_CustRow="未登録"),"",INDEX(tblQCustomers[敬称],Q_CustRow)&amp;"")="","様",IF(OR(Q_CustRow="",Q_CustRow="未登録"),"",INDEX(tblQCustomers[敬称],Q_CustRow)&amp;"")),""))</f>
        <v/>
      </c>
      <c r="C6" s="48" t="n"/>
      <c r="D6" s="48" t="n"/>
      <c r="F6" s="45" t="inlineStr">
        <is>
          <t>版</t>
        </is>
      </c>
      <c r="G6" s="46" t="str">
        <f>IF(ISNUMBER(Q_Ver),"第"&amp;Q_Ver&amp;"版","（未入力）")</f>
        <v>（未入力）</v>
      </c>
    </row>
    <row r="7" ht="26" customHeight="1">
      <c r="B7" s="37" t="str">
        <f>IF(IF(OR(Q_CustRow="",Q_CustRow="未登録"),"",INDEX(tblQCustomers[郵便番号],Q_CustRow)&amp;"")&lt;&gt;"","〒"&amp;IF(OR(Q_CustRow="",Q_CustRow="未登録"),"",INDEX(tblQCustomers[郵便番号],Q_CustRow)&amp;"")&amp;" ","")&amp;IF(OR(Q_CustRow="",Q_CustRow="未登録"),"",INDEX(tblQCustomers[住所1],Q_CustRow)&amp;"")&amp;IF(IF(OR(Q_CustRow="",Q_CustRow="未登録"),"",INDEX(tblQCustomers[住所2],Q_CustRow)&amp;"")&lt;&gt;""," "&amp;IF(OR(Q_CustRow="",Q_CustRow="未登録"),"",INDEX(tblQCustomers[住所2],Q_CustRow)&amp;""),"")</f>
        <v/>
      </c>
      <c r="F7" s="45" t="inlineStr">
        <is>
          <t>発行日</t>
        </is>
      </c>
      <c r="G7" s="49" t="str">
        <f>IF(ISNUMBER(Q_Date),Q_Date,"（未入力）")</f>
        <v>（未入力）</v>
      </c>
    </row>
    <row r="8" ht="20" customHeight="1">
      <c r="F8" s="45" t="inlineStr">
        <is>
          <t>有効期限</t>
        </is>
      </c>
      <c r="G8" s="49" t="str">
        <f>IF(ISNUMBER(Q_Valid),Q_Valid,IF(ISNUMBER(Q_Date),Q_Date+ValidDays,""))</f>
        <v/>
      </c>
    </row>
    <row r="9" ht="22" customHeight="1">
      <c r="B9" s="50" t="inlineStr">
        <is>
          <t>下記のとおりお見積り申し上げます。</t>
        </is>
      </c>
    </row>
    <row r="10" ht="30" customHeight="1">
      <c r="B10" s="51" t="inlineStr">
        <is>
          <t>件名</t>
        </is>
      </c>
      <c r="C10" s="52" t="str">
        <f>IF(Q_Title="","（未入力）",Q_Title&amp;"")</f>
        <v>（未入力）</v>
      </c>
      <c r="D10" s="53" t="n"/>
      <c r="F10" s="54" t="str">
        <f>IF(Iss_Name="","（発行元：05_設定に入力）",Iss_Name&amp;"")</f>
        <v>（発行元：05_設定に入力）</v>
      </c>
    </row>
    <row r="11" ht="18" customHeight="1">
      <c r="B11" s="51" t="inlineStr">
        <is>
          <t>納期</t>
        </is>
      </c>
      <c r="C11" s="55" t="str">
        <f>IF(Q_Delivery="","別途ご相談",Q_Delivery&amp;"")</f>
        <v>別途ご相談</v>
      </c>
      <c r="D11" s="53" t="n"/>
      <c r="F11" s="56" t="str">
        <f>IF(Iss_Zip&lt;&gt;"","〒"&amp;Iss_Zip&amp;" ","")&amp;Iss_Addr1</f>
        <v/>
      </c>
    </row>
    <row r="12" ht="18" customHeight="1">
      <c r="B12" s="51" t="inlineStr">
        <is>
          <t>支払条件</t>
        </is>
      </c>
      <c r="C12" s="55" t="str">
        <f>IF(Q_Pay&lt;&gt;"",Q_Pay&amp;"",IF(DefaultPay&lt;&gt;"",DefaultPay&amp;"","別途ご相談"))</f>
        <v>別途ご相談</v>
      </c>
      <c r="D12" s="53" t="n"/>
      <c r="F12" s="56" t="str">
        <f>Iss_Addr2&amp;""</f>
        <v/>
      </c>
    </row>
    <row r="13" ht="18" customHeight="1">
      <c r="B13" s="51" t="inlineStr">
        <is>
          <t>有効期限</t>
        </is>
      </c>
      <c r="C13" s="55" t="str">
        <f>IF(ISNUMBER(G8),TEXT(G8,"yyyy年m月d日")&amp;"まで","")</f>
        <v/>
      </c>
      <c r="D13" s="53" t="n"/>
      <c r="F13" s="56" t="str">
        <f>IF(Iss_Tel&lt;&gt;"","TEL "&amp;Iss_Tel,"")</f>
        <v/>
      </c>
    </row>
    <row r="14" ht="18" customHeight="1">
      <c r="F14" s="56" t="str">
        <f>Iss_Mail&amp;""</f>
        <v/>
      </c>
    </row>
    <row r="15" ht="18" customHeight="1">
      <c r="F15" s="56" t="str">
        <f>IF(Iss_Staff&lt;&gt;"","担当："&amp;Iss_Staff,"")</f>
        <v/>
      </c>
    </row>
    <row r="16" ht="18" customHeight="1">
      <c r="F16" s="57" t="str">
        <f>IF(Iss_RegNo&lt;&gt;"","登録番号："&amp;Iss_RegNo,"")</f>
        <v/>
      </c>
    </row>
    <row r="17" ht="10" customHeight="1"/>
    <row r="18" ht="34" customHeight="1">
      <c r="B18" s="58" t="inlineStr">
        <is>
          <t>合計金額（税込）</t>
        </is>
      </c>
      <c r="C18" s="59" t="n"/>
      <c r="D18" s="60" t="str">
        <f>IF(ISNUMBER(Q_Total),Q_Total,"入力要確認")</f>
        <v>入力要確認</v>
      </c>
      <c r="E18" s="61" t="n"/>
      <c r="F18" s="61" t="n"/>
      <c r="G18" s="62" t="n"/>
    </row>
    <row r="19" ht="10" customHeight="1"/>
    <row r="20" ht="22" customHeight="1">
      <c r="B20" s="63" t="inlineStr">
        <is>
          <t>No</t>
        </is>
      </c>
      <c r="C20" s="63" t="inlineStr">
        <is>
          <t>品名・仕様</t>
        </is>
      </c>
      <c r="D20" s="63" t="inlineStr">
        <is>
          <t>数量</t>
        </is>
      </c>
      <c r="E20" s="63" t="inlineStr">
        <is>
          <t>単位</t>
        </is>
      </c>
      <c r="F20" s="63" t="inlineStr">
        <is>
          <t>単価</t>
        </is>
      </c>
      <c r="G20" s="63" t="inlineStr">
        <is>
          <t>金額</t>
        </is>
      </c>
    </row>
    <row r="21" ht="26" customHeight="1">
      <c r="B21" s="64" t="str">
        <f>IF('01_入力'!$M$22="","",1)</f>
        <v/>
      </c>
      <c r="C21" s="65" t="str">
        <f>IF('01_入力'!$M$22="","",IF('01_入力'!$H$22="","（品名未確定）",'01_入力'!$H$22))</f>
        <v/>
      </c>
      <c r="D21" s="66" t="str">
        <f>IF(OR('01_入力'!$M$22="",NOT(ISNUMBER('01_入力'!$D$22))),"",IF('01_入力'!$D$22=INT('01_入力'!$D$22),TEXT('01_入力'!$D$22,"#,##0"),TEXT('01_入力'!$D$22,"#,##0.###")))</f>
        <v/>
      </c>
      <c r="E21" s="67" t="str">
        <f>IF('01_入力'!$M$22="","",'01_入力'!$I$22&amp;"")</f>
        <v/>
      </c>
      <c r="F21" s="66" t="str">
        <f>IF(OR(LEFT('01_入力'!$M$22,2)&lt;&gt;"OK",NOT(ISNUMBER('01_入力'!$K$22))),"",IF('01_入力'!$K$22=INT('01_入力'!$K$22),TEXT('01_入力'!$K$22,"#,##0"),TEXT('01_入力'!$K$22,"#,##0.00")))</f>
        <v/>
      </c>
      <c r="G21" s="68" t="str">
        <f>IF('01_入力'!$M$22="","",'01_入力'!$L$22)</f>
        <v/>
      </c>
    </row>
    <row r="22" ht="26" customHeight="1">
      <c r="B22" s="64" t="str">
        <f>IF('01_入力'!$M$23="","",2)</f>
        <v/>
      </c>
      <c r="C22" s="65" t="str">
        <f>IF('01_入力'!$M$23="","",IF('01_入力'!$H$23="","（品名未確定）",'01_入力'!$H$23))</f>
        <v/>
      </c>
      <c r="D22" s="66" t="str">
        <f>IF(OR('01_入力'!$M$23="",NOT(ISNUMBER('01_入力'!$D$23))),"",IF('01_入力'!$D$23=INT('01_入力'!$D$23),TEXT('01_入力'!$D$23,"#,##0"),TEXT('01_入力'!$D$23,"#,##0.###")))</f>
        <v/>
      </c>
      <c r="E22" s="67" t="str">
        <f>IF('01_入力'!$M$23="","",'01_入力'!$I$23&amp;"")</f>
        <v/>
      </c>
      <c r="F22" s="66" t="str">
        <f>IF(OR(LEFT('01_入力'!$M$23,2)&lt;&gt;"OK",NOT(ISNUMBER('01_入力'!$K$23))),"",IF('01_入力'!$K$23=INT('01_入力'!$K$23),TEXT('01_入力'!$K$23,"#,##0"),TEXT('01_入力'!$K$23,"#,##0.00")))</f>
        <v/>
      </c>
      <c r="G22" s="68" t="str">
        <f>IF('01_入力'!$M$23="","",'01_入力'!$L$23)</f>
        <v/>
      </c>
    </row>
    <row r="23" ht="26" customHeight="1">
      <c r="B23" s="64" t="str">
        <f>IF('01_入力'!$M$24="","",3)</f>
        <v/>
      </c>
      <c r="C23" s="65" t="str">
        <f>IF('01_入力'!$M$24="","",IF('01_入力'!$H$24="","（品名未確定）",'01_入力'!$H$24))</f>
        <v/>
      </c>
      <c r="D23" s="66" t="str">
        <f>IF(OR('01_入力'!$M$24="",NOT(ISNUMBER('01_入力'!$D$24))),"",IF('01_入力'!$D$24=INT('01_入力'!$D$24),TEXT('01_入力'!$D$24,"#,##0"),TEXT('01_入力'!$D$24,"#,##0.###")))</f>
        <v/>
      </c>
      <c r="E23" s="67" t="str">
        <f>IF('01_入力'!$M$24="","",'01_入力'!$I$24&amp;"")</f>
        <v/>
      </c>
      <c r="F23" s="66" t="str">
        <f>IF(OR(LEFT('01_入力'!$M$24,2)&lt;&gt;"OK",NOT(ISNUMBER('01_入力'!$K$24))),"",IF('01_入力'!$K$24=INT('01_入力'!$K$24),TEXT('01_入力'!$K$24,"#,##0"),TEXT('01_入力'!$K$24,"#,##0.00")))</f>
        <v/>
      </c>
      <c r="G23" s="68" t="str">
        <f>IF('01_入力'!$M$24="","",'01_入力'!$L$24)</f>
        <v/>
      </c>
    </row>
    <row r="24" ht="26" customHeight="1">
      <c r="B24" s="64" t="str">
        <f>IF('01_入力'!$M$25="","",4)</f>
        <v/>
      </c>
      <c r="C24" s="65" t="str">
        <f>IF('01_入力'!$M$25="","",IF('01_入力'!$H$25="","（品名未確定）",'01_入力'!$H$25))</f>
        <v/>
      </c>
      <c r="D24" s="66" t="str">
        <f>IF(OR('01_入力'!$M$25="",NOT(ISNUMBER('01_入力'!$D$25))),"",IF('01_入力'!$D$25=INT('01_入力'!$D$25),TEXT('01_入力'!$D$25,"#,##0"),TEXT('01_入力'!$D$25,"#,##0.###")))</f>
        <v/>
      </c>
      <c r="E24" s="67" t="str">
        <f>IF('01_入力'!$M$25="","",'01_入力'!$I$25&amp;"")</f>
        <v/>
      </c>
      <c r="F24" s="66" t="str">
        <f>IF(OR(LEFT('01_入力'!$M$25,2)&lt;&gt;"OK",NOT(ISNUMBER('01_入力'!$K$25))),"",IF('01_入力'!$K$25=INT('01_入力'!$K$25),TEXT('01_入力'!$K$25,"#,##0"),TEXT('01_入力'!$K$25,"#,##0.00")))</f>
        <v/>
      </c>
      <c r="G24" s="68" t="str">
        <f>IF('01_入力'!$M$25="","",'01_入力'!$L$25)</f>
        <v/>
      </c>
    </row>
    <row r="25" ht="26" customHeight="1">
      <c r="B25" s="64" t="str">
        <f>IF('01_入力'!$M$26="","",5)</f>
        <v/>
      </c>
      <c r="C25" s="65" t="str">
        <f>IF('01_入力'!$M$26="","",IF('01_入力'!$H$26="","（品名未確定）",'01_入力'!$H$26))</f>
        <v/>
      </c>
      <c r="D25" s="66" t="str">
        <f>IF(OR('01_入力'!$M$26="",NOT(ISNUMBER('01_入力'!$D$26))),"",IF('01_入力'!$D$26=INT('01_入力'!$D$26),TEXT('01_入力'!$D$26,"#,##0"),TEXT('01_入力'!$D$26,"#,##0.###")))</f>
        <v/>
      </c>
      <c r="E25" s="67" t="str">
        <f>IF('01_入力'!$M$26="","",'01_入力'!$I$26&amp;"")</f>
        <v/>
      </c>
      <c r="F25" s="66" t="str">
        <f>IF(OR(LEFT('01_入力'!$M$26,2)&lt;&gt;"OK",NOT(ISNUMBER('01_入力'!$K$26))),"",IF('01_入力'!$K$26=INT('01_入力'!$K$26),TEXT('01_入力'!$K$26,"#,##0"),TEXT('01_入力'!$K$26,"#,##0.00")))</f>
        <v/>
      </c>
      <c r="G25" s="68" t="str">
        <f>IF('01_入力'!$M$26="","",'01_入力'!$L$26)</f>
        <v/>
      </c>
    </row>
    <row r="26" ht="26" customHeight="1">
      <c r="B26" s="64" t="str">
        <f>IF('01_入力'!$M$27="","",6)</f>
        <v/>
      </c>
      <c r="C26" s="65" t="str">
        <f>IF('01_入力'!$M$27="","",IF('01_入力'!$H$27="","（品名未確定）",'01_入力'!$H$27))</f>
        <v/>
      </c>
      <c r="D26" s="66" t="str">
        <f>IF(OR('01_入力'!$M$27="",NOT(ISNUMBER('01_入力'!$D$27))),"",IF('01_入力'!$D$27=INT('01_入力'!$D$27),TEXT('01_入力'!$D$27,"#,##0"),TEXT('01_入力'!$D$27,"#,##0.###")))</f>
        <v/>
      </c>
      <c r="E26" s="67" t="str">
        <f>IF('01_入力'!$M$27="","",'01_入力'!$I$27&amp;"")</f>
        <v/>
      </c>
      <c r="F26" s="66" t="str">
        <f>IF(OR(LEFT('01_入力'!$M$27,2)&lt;&gt;"OK",NOT(ISNUMBER('01_入力'!$K$27))),"",IF('01_入力'!$K$27=INT('01_入力'!$K$27),TEXT('01_入力'!$K$27,"#,##0"),TEXT('01_入力'!$K$27,"#,##0.00")))</f>
        <v/>
      </c>
      <c r="G26" s="68" t="str">
        <f>IF('01_入力'!$M$27="","",'01_入力'!$L$27)</f>
        <v/>
      </c>
    </row>
    <row r="27" ht="26" customHeight="1">
      <c r="B27" s="64" t="str">
        <f>IF('01_入力'!$M$28="","",7)</f>
        <v/>
      </c>
      <c r="C27" s="65" t="str">
        <f>IF('01_入力'!$M$28="","",IF('01_入力'!$H$28="","（品名未確定）",'01_入力'!$H$28))</f>
        <v/>
      </c>
      <c r="D27" s="66" t="str">
        <f>IF(OR('01_入力'!$M$28="",NOT(ISNUMBER('01_入力'!$D$28))),"",IF('01_入力'!$D$28=INT('01_入力'!$D$28),TEXT('01_入力'!$D$28,"#,##0"),TEXT('01_入力'!$D$28,"#,##0.###")))</f>
        <v/>
      </c>
      <c r="E27" s="67" t="str">
        <f>IF('01_入力'!$M$28="","",'01_入力'!$I$28&amp;"")</f>
        <v/>
      </c>
      <c r="F27" s="66" t="str">
        <f>IF(OR(LEFT('01_入力'!$M$28,2)&lt;&gt;"OK",NOT(ISNUMBER('01_入力'!$K$28))),"",IF('01_入力'!$K$28=INT('01_入力'!$K$28),TEXT('01_入力'!$K$28,"#,##0"),TEXT('01_入力'!$K$28,"#,##0.00")))</f>
        <v/>
      </c>
      <c r="G27" s="68" t="str">
        <f>IF('01_入力'!$M$28="","",'01_入力'!$L$28)</f>
        <v/>
      </c>
    </row>
    <row r="28" ht="26" customHeight="1">
      <c r="B28" s="64" t="str">
        <f>IF('01_入力'!$M$29="","",8)</f>
        <v/>
      </c>
      <c r="C28" s="65" t="str">
        <f>IF('01_入力'!$M$29="","",IF('01_入力'!$H$29="","（品名未確定）",'01_入力'!$H$29))</f>
        <v/>
      </c>
      <c r="D28" s="66" t="str">
        <f>IF(OR('01_入力'!$M$29="",NOT(ISNUMBER('01_入力'!$D$29))),"",IF('01_入力'!$D$29=INT('01_入力'!$D$29),TEXT('01_入力'!$D$29,"#,##0"),TEXT('01_入力'!$D$29,"#,##0.###")))</f>
        <v/>
      </c>
      <c r="E28" s="67" t="str">
        <f>IF('01_入力'!$M$29="","",'01_入力'!$I$29&amp;"")</f>
        <v/>
      </c>
      <c r="F28" s="66" t="str">
        <f>IF(OR(LEFT('01_入力'!$M$29,2)&lt;&gt;"OK",NOT(ISNUMBER('01_入力'!$K$29))),"",IF('01_入力'!$K$29=INT('01_入力'!$K$29),TEXT('01_入力'!$K$29,"#,##0"),TEXT('01_入力'!$K$29,"#,##0.00")))</f>
        <v/>
      </c>
      <c r="G28" s="68" t="str">
        <f>IF('01_入力'!$M$29="","",'01_入力'!$L$29)</f>
        <v/>
      </c>
    </row>
    <row r="29" ht="26" customHeight="1">
      <c r="B29" s="64" t="str">
        <f>IF('01_入力'!$M$30="","",9)</f>
        <v/>
      </c>
      <c r="C29" s="65" t="str">
        <f>IF('01_入力'!$M$30="","",IF('01_入力'!$H$30="","（品名未確定）",'01_入力'!$H$30))</f>
        <v/>
      </c>
      <c r="D29" s="66" t="str">
        <f>IF(OR('01_入力'!$M$30="",NOT(ISNUMBER('01_入力'!$D$30))),"",IF('01_入力'!$D$30=INT('01_入力'!$D$30),TEXT('01_入力'!$D$30,"#,##0"),TEXT('01_入力'!$D$30,"#,##0.###")))</f>
        <v/>
      </c>
      <c r="E29" s="67" t="str">
        <f>IF('01_入力'!$M$30="","",'01_入力'!$I$30&amp;"")</f>
        <v/>
      </c>
      <c r="F29" s="66" t="str">
        <f>IF(OR(LEFT('01_入力'!$M$30,2)&lt;&gt;"OK",NOT(ISNUMBER('01_入力'!$K$30))),"",IF('01_入力'!$K$30=INT('01_入力'!$K$30),TEXT('01_入力'!$K$30,"#,##0"),TEXT('01_入力'!$K$30,"#,##0.00")))</f>
        <v/>
      </c>
      <c r="G29" s="68" t="str">
        <f>IF('01_入力'!$M$30="","",'01_入力'!$L$30)</f>
        <v/>
      </c>
    </row>
    <row r="30" ht="26" customHeight="1">
      <c r="B30" s="64" t="str">
        <f>IF('01_入力'!$M$31="","",10)</f>
        <v/>
      </c>
      <c r="C30" s="65" t="str">
        <f>IF('01_入力'!$M$31="","",IF('01_入力'!$H$31="","（品名未確定）",'01_入力'!$H$31))</f>
        <v/>
      </c>
      <c r="D30" s="66" t="str">
        <f>IF(OR('01_入力'!$M$31="",NOT(ISNUMBER('01_入力'!$D$31))),"",IF('01_入力'!$D$31=INT('01_入力'!$D$31),TEXT('01_入力'!$D$31,"#,##0"),TEXT('01_入力'!$D$31,"#,##0.###")))</f>
        <v/>
      </c>
      <c r="E30" s="67" t="str">
        <f>IF('01_入力'!$M$31="","",'01_入力'!$I$31&amp;"")</f>
        <v/>
      </c>
      <c r="F30" s="66" t="str">
        <f>IF(OR(LEFT('01_入力'!$M$31,2)&lt;&gt;"OK",NOT(ISNUMBER('01_入力'!$K$31))),"",IF('01_入力'!$K$31=INT('01_入力'!$K$31),TEXT('01_入力'!$K$31,"#,##0"),TEXT('01_入力'!$K$31,"#,##0.00")))</f>
        <v/>
      </c>
      <c r="G30" s="68" t="str">
        <f>IF('01_入力'!$M$31="","",'01_入力'!$L$31)</f>
        <v/>
      </c>
    </row>
    <row r="31" ht="26" customHeight="1">
      <c r="B31" s="64" t="str">
        <f>IF('01_入力'!$M$32="","",11)</f>
        <v/>
      </c>
      <c r="C31" s="65" t="str">
        <f>IF('01_入力'!$M$32="","",IF('01_入力'!$H$32="","（品名未確定）",'01_入力'!$H$32))</f>
        <v/>
      </c>
      <c r="D31" s="66" t="str">
        <f>IF(OR('01_入力'!$M$32="",NOT(ISNUMBER('01_入力'!$D$32))),"",IF('01_入力'!$D$32=INT('01_入力'!$D$32),TEXT('01_入力'!$D$32,"#,##0"),TEXT('01_入力'!$D$32,"#,##0.###")))</f>
        <v/>
      </c>
      <c r="E31" s="67" t="str">
        <f>IF('01_入力'!$M$32="","",'01_入力'!$I$32&amp;"")</f>
        <v/>
      </c>
      <c r="F31" s="66" t="str">
        <f>IF(OR(LEFT('01_入力'!$M$32,2)&lt;&gt;"OK",NOT(ISNUMBER('01_入力'!$K$32))),"",IF('01_入力'!$K$32=INT('01_入力'!$K$32),TEXT('01_入力'!$K$32,"#,##0"),TEXT('01_入力'!$K$32,"#,##0.00")))</f>
        <v/>
      </c>
      <c r="G31" s="68" t="str">
        <f>IF('01_入力'!$M$32="","",'01_入力'!$L$32)</f>
        <v/>
      </c>
    </row>
    <row r="32" ht="26" customHeight="1">
      <c r="B32" s="64" t="str">
        <f>IF('01_入力'!$M$33="","",12)</f>
        <v/>
      </c>
      <c r="C32" s="65" t="str">
        <f>IF('01_入力'!$M$33="","",IF('01_入力'!$H$33="","（品名未確定）",'01_入力'!$H$33))</f>
        <v/>
      </c>
      <c r="D32" s="66" t="str">
        <f>IF(OR('01_入力'!$M$33="",NOT(ISNUMBER('01_入力'!$D$33))),"",IF('01_入力'!$D$33=INT('01_入力'!$D$33),TEXT('01_入力'!$D$33,"#,##0"),TEXT('01_入力'!$D$33,"#,##0.###")))</f>
        <v/>
      </c>
      <c r="E32" s="67" t="str">
        <f>IF('01_入力'!$M$33="","",'01_入力'!$I$33&amp;"")</f>
        <v/>
      </c>
      <c r="F32" s="66" t="str">
        <f>IF(OR(LEFT('01_入力'!$M$33,2)&lt;&gt;"OK",NOT(ISNUMBER('01_入力'!$K$33))),"",IF('01_入力'!$K$33=INT('01_入力'!$K$33),TEXT('01_入力'!$K$33,"#,##0"),TEXT('01_入力'!$K$33,"#,##0.00")))</f>
        <v/>
      </c>
      <c r="G32" s="68" t="str">
        <f>IF('01_入力'!$M$33="","",'01_入力'!$L$33)</f>
        <v/>
      </c>
    </row>
    <row r="33" ht="26" customHeight="1">
      <c r="B33" s="64" t="str">
        <f>IF('01_入力'!$M$34="","",13)</f>
        <v/>
      </c>
      <c r="C33" s="65" t="str">
        <f>IF('01_入力'!$M$34="","",IF('01_入力'!$H$34="","（品名未確定）",'01_入力'!$H$34))</f>
        <v/>
      </c>
      <c r="D33" s="66" t="str">
        <f>IF(OR('01_入力'!$M$34="",NOT(ISNUMBER('01_入力'!$D$34))),"",IF('01_入力'!$D$34=INT('01_入力'!$D$34),TEXT('01_入力'!$D$34,"#,##0"),TEXT('01_入力'!$D$34,"#,##0.###")))</f>
        <v/>
      </c>
      <c r="E33" s="67" t="str">
        <f>IF('01_入力'!$M$34="","",'01_入力'!$I$34&amp;"")</f>
        <v/>
      </c>
      <c r="F33" s="66" t="str">
        <f>IF(OR(LEFT('01_入力'!$M$34,2)&lt;&gt;"OK",NOT(ISNUMBER('01_入力'!$K$34))),"",IF('01_入力'!$K$34=INT('01_入力'!$K$34),TEXT('01_入力'!$K$34,"#,##0"),TEXT('01_入力'!$K$34,"#,##0.00")))</f>
        <v/>
      </c>
      <c r="G33" s="68" t="str">
        <f>IF('01_入力'!$M$34="","",'01_入力'!$L$34)</f>
        <v/>
      </c>
    </row>
    <row r="34" ht="26" customHeight="1">
      <c r="B34" s="64" t="str">
        <f>IF('01_入力'!$M$35="","",14)</f>
        <v/>
      </c>
      <c r="C34" s="65" t="str">
        <f>IF('01_入力'!$M$35="","",IF('01_入力'!$H$35="","（品名未確定）",'01_入力'!$H$35))</f>
        <v/>
      </c>
      <c r="D34" s="66" t="str">
        <f>IF(OR('01_入力'!$M$35="",NOT(ISNUMBER('01_入力'!$D$35))),"",IF('01_入力'!$D$35=INT('01_入力'!$D$35),TEXT('01_入力'!$D$35,"#,##0"),TEXT('01_入力'!$D$35,"#,##0.###")))</f>
        <v/>
      </c>
      <c r="E34" s="67" t="str">
        <f>IF('01_入力'!$M$35="","",'01_入力'!$I$35&amp;"")</f>
        <v/>
      </c>
      <c r="F34" s="66" t="str">
        <f>IF(OR(LEFT('01_入力'!$M$35,2)&lt;&gt;"OK",NOT(ISNUMBER('01_入力'!$K$35))),"",IF('01_入力'!$K$35=INT('01_入力'!$K$35),TEXT('01_入力'!$K$35,"#,##0"),TEXT('01_入力'!$K$35,"#,##0.00")))</f>
        <v/>
      </c>
      <c r="G34" s="68" t="str">
        <f>IF('01_入力'!$M$35="","",'01_入力'!$L$35)</f>
        <v/>
      </c>
    </row>
    <row r="35" ht="26" customHeight="1">
      <c r="B35" s="69" t="str">
        <f>IF('01_入力'!$M$36="","",15)</f>
        <v/>
      </c>
      <c r="C35" s="70" t="str">
        <f>IF('01_入力'!$M$36="","",IF('01_入力'!$H$36="","（品名未確定）",'01_入力'!$H$36))</f>
        <v/>
      </c>
      <c r="D35" s="71" t="str">
        <f>IF(OR('01_入力'!$M$36="",NOT(ISNUMBER('01_入力'!$D$36))),"",IF('01_入力'!$D$36=INT('01_入力'!$D$36),TEXT('01_入力'!$D$36,"#,##0"),TEXT('01_入力'!$D$36,"#,##0.###")))</f>
        <v/>
      </c>
      <c r="E35" s="72" t="str">
        <f>IF('01_入力'!$M$36="","",'01_入力'!$I$36&amp;"")</f>
        <v/>
      </c>
      <c r="F35" s="71" t="str">
        <f>IF(OR(LEFT('01_入力'!$M$36,2)&lt;&gt;"OK",NOT(ISNUMBER('01_入力'!$K$36))),"",IF('01_入力'!$K$36=INT('01_入力'!$K$36),TEXT('01_入力'!$K$36,"#,##0"),TEXT('01_入力'!$K$36,"#,##0.00")))</f>
        <v/>
      </c>
      <c r="G35" s="73" t="str">
        <f>IF('01_入力'!$M$36="","",'01_入力'!$L$36)</f>
        <v/>
      </c>
    </row>
    <row r="36" ht="22" customHeight="1">
      <c r="E36" s="74" t="inlineStr">
        <is>
          <t>小計</t>
        </is>
      </c>
      <c r="F36" s="75" t="n"/>
      <c r="G36" s="76" t="str">
        <f>Q_Sub</f>
        <v>要確認</v>
      </c>
    </row>
    <row r="37" ht="22" customHeight="1">
      <c r="E37" s="74" t="str">
        <f>"消費税（"&amp;TEXT(TaxRate,"0%")&amp;"）"</f>
        <v>消費税（10%）</v>
      </c>
      <c r="F37" s="75" t="n"/>
      <c r="G37" s="76" t="str">
        <f>Q_Tax</f>
        <v>要確認</v>
      </c>
    </row>
    <row r="38" ht="22" customHeight="1">
      <c r="E38" s="77" t="inlineStr">
        <is>
          <t>合計（税込）</t>
        </is>
      </c>
      <c r="F38" s="75" t="n"/>
      <c r="G38" s="78" t="str">
        <f>Q_Total</f>
        <v>要確認</v>
      </c>
    </row>
    <row r="39" ht="10" customHeight="1"/>
    <row r="40">
      <c r="B40" s="79" t="inlineStr">
        <is>
          <t>備考</t>
        </is>
      </c>
    </row>
    <row r="41" ht="19" customHeight="1">
      <c r="B41" s="80" t="str">
        <f>_xlfn.TEXTJOIN(CHAR(10),TRUE,Q_Note1,Q_Note2,Q_Note3)</f>
        <v/>
      </c>
      <c r="C41" s="81" t="n"/>
      <c r="D41" s="81" t="n"/>
      <c r="E41" s="81" t="n"/>
      <c r="F41" s="81" t="n"/>
      <c r="G41" s="82" t="n"/>
    </row>
    <row r="42" ht="19" customHeight="1">
      <c r="B42" s="83" t="n"/>
      <c r="C42" s="84" t="n"/>
      <c r="D42" s="84" t="n"/>
      <c r="E42" s="84" t="n"/>
      <c r="F42" s="84" t="n"/>
      <c r="G42" s="85" t="n"/>
    </row>
    <row r="43" ht="19" customHeight="1">
      <c r="B43" s="86" t="n"/>
      <c r="C43" s="48" t="n"/>
      <c r="D43" s="48" t="n"/>
      <c r="E43" s="48" t="n"/>
      <c r="F43" s="48" t="n"/>
      <c r="G43" s="87" t="n"/>
    </row>
    <row r="44" ht="18" customHeight="1">
      <c r="B44" s="88" t="str">
        <f>"金額は税抜単価×数量（円未満"&amp;RoundLine&amp;"）の合計に、消費税を税率"&amp;TEXT(TaxRate,"0%")&amp;"で一括計算しています（円未満"&amp;RoundTax&amp;"）。"</f>
        <v>金額は税抜単価×数量（円未満切り捨て）の合計に、消費税を税率10%で一括計算しています（円未満切り捨て）。</v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24">
    <mergeCell ref="B2:G2"/>
    <mergeCell ref="D18:G18"/>
    <mergeCell ref="F11:G11"/>
    <mergeCell ref="F10:G10"/>
    <mergeCell ref="F16:G16"/>
    <mergeCell ref="B18:C18"/>
    <mergeCell ref="B44:G44"/>
    <mergeCell ref="F12:G12"/>
    <mergeCell ref="E38:F38"/>
    <mergeCell ref="C10:D10"/>
    <mergeCell ref="F15:G15"/>
    <mergeCell ref="B9:D9"/>
    <mergeCell ref="B6:D6"/>
    <mergeCell ref="C12:D12"/>
    <mergeCell ref="B5:D5"/>
    <mergeCell ref="C11:D11"/>
    <mergeCell ref="E36:F36"/>
    <mergeCell ref="F13:G13"/>
    <mergeCell ref="B7:D7"/>
    <mergeCell ref="B3:G3"/>
    <mergeCell ref="B41:G43"/>
    <mergeCell ref="E37:F37"/>
    <mergeCell ref="C13:D13"/>
    <mergeCell ref="F14:G14"/>
  </mergeCells>
  <conditionalFormatting sqref="G21:G35">
    <cfRule type="expression" priority="1" dxfId="0" stopIfTrue="1">
      <formula>G21="要確認"</formula>
    </cfRule>
  </conditionalFormatting>
  <conditionalFormatting sqref="G36:G38">
    <cfRule type="expression" priority="2" dxfId="0" stopIfTrue="1">
      <formula>G36="要確認"</formula>
    </cfRule>
  </conditionalFormatting>
  <printOptions horizontalCentered="1"/>
  <pageMargins left="0.5" right="0.5" top="0.55" bottom="0.55" header="0.2" footer="0.2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3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0" customWidth="1" min="2" max="2"/>
    <col width="10" customWidth="1" min="3" max="3"/>
    <col width="30" customWidth="1" min="4" max="4"/>
    <col width="18" customWidth="1" min="5" max="5"/>
    <col width="16" customWidth="1" min="6" max="6"/>
    <col width="14" customWidth="1" min="7" max="7"/>
    <col width="7" customWidth="1" min="8" max="8"/>
    <col width="14" customWidth="1" min="9" max="9"/>
    <col width="20" customWidth="1" min="10" max="10"/>
    <col width="36" customWidth="1" min="11" max="11"/>
    <col width="24" customWidth="1" min="12" max="12"/>
    <col width="6" customWidth="1" min="13" max="13"/>
  </cols>
  <sheetData>
    <row r="1" ht="30" customHeight="1">
      <c r="A1" s="1" t="inlineStr">
        <is>
          <t>顧客マスター（見積の宛先）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89" t="inlineStr">
        <is>
          <t>← 01_入力へ</t>
        </is>
      </c>
    </row>
    <row r="2" ht="20" customHeight="1">
      <c r="A2" s="90" t="inlineStr">
        <is>
          <t>1行＝1宛先。同じ会社でも拠点・部署ごとに別IDにできます。選択表示は 01_入力 の候補になります。</t>
        </is>
      </c>
    </row>
    <row r="3" ht="22" customHeight="1">
      <c r="A3" s="8" t="inlineStr">
        <is>
          <t>凡例</t>
        </is>
      </c>
      <c r="B3" s="91" t="inlineStr">
        <is>
          <t>入力</t>
        </is>
      </c>
      <c r="C3" s="92" t="inlineStr">
        <is>
          <t>自動計算</t>
        </is>
      </c>
      <c r="D3" s="93" t="inlineStr">
        <is>
          <t>注意・要確認</t>
        </is>
      </c>
      <c r="H3" s="45" t="inlineStr">
        <is>
          <t>次の顧客ID候補</t>
        </is>
      </c>
      <c r="I3" s="94" t="str">
        <f>"C"&amp;TEXT(MAX(0,MAX(tblQCustomers[ID番号]))+1,"000")</f>
        <v>C001</v>
      </c>
    </row>
    <row r="4" ht="6" customHeight="1"/>
    <row r="5" ht="36" customHeight="1">
      <c r="A5" s="95" t="inlineStr">
        <is>
          <t>顧客ID</t>
        </is>
      </c>
      <c r="B5" s="95" t="inlineStr">
        <is>
          <t>会社名</t>
        </is>
      </c>
      <c r="C5" s="95" t="inlineStr">
        <is>
          <t>郵便番号</t>
        </is>
      </c>
      <c r="D5" s="95" t="inlineStr">
        <is>
          <t>住所1</t>
        </is>
      </c>
      <c r="E5" s="95" t="inlineStr">
        <is>
          <t>住所2</t>
        </is>
      </c>
      <c r="F5" s="95" t="inlineStr">
        <is>
          <t>部署（既定）</t>
        </is>
      </c>
      <c r="G5" s="95" t="inlineStr">
        <is>
          <t>担当者名（既定）</t>
        </is>
      </c>
      <c r="H5" s="95" t="inlineStr">
        <is>
          <t>敬称</t>
        </is>
      </c>
      <c r="I5" s="95" t="inlineStr">
        <is>
          <t>電話</t>
        </is>
      </c>
      <c r="J5" s="95" t="inlineStr">
        <is>
          <t>補足</t>
        </is>
      </c>
      <c r="K5" s="96" t="inlineStr">
        <is>
          <t>選択表示</t>
        </is>
      </c>
      <c r="L5" s="96" t="inlineStr">
        <is>
          <t>入力チェック</t>
        </is>
      </c>
      <c r="M5" s="97" t="inlineStr">
        <is>
          <t>ID番号</t>
        </is>
      </c>
    </row>
    <row r="6">
      <c r="A6" s="98" t="n"/>
      <c r="B6" s="99" t="n"/>
      <c r="C6" s="98" t="n"/>
      <c r="D6" s="99" t="n"/>
      <c r="E6" s="99" t="n"/>
      <c r="F6" s="99" t="n"/>
      <c r="G6" s="100" t="n"/>
      <c r="H6" s="101" t="n"/>
      <c r="I6" s="98" t="n"/>
      <c r="J6" s="99" t="n"/>
      <c r="K6" s="102" t="str">
        <f>IF(tblQCustomers[[#This Row],[顧客ID]]="","",tblQCustomers[[#This Row],[顧客ID]]&amp;"｜"&amp;tblQCustomers[[#This Row],[会社名]]&amp;IF(tblQCustomers[[#This Row],[部署（既定）]]&lt;&gt;"","（"&amp;tblQCustomers[[#This Row],[部署（既定）]]&amp;"）",""))</f>
        <v/>
      </c>
      <c r="L6" s="103" t="str">
        <f>IF(AND(tblQCustomers[[#This Row],[顧客ID]]="",tblQCustomers[[#This Row],[会社名]]=""),"",_xlfn.TEXTJOIN("／",TRUE,IF(tblQCustomers[[#This Row],[顧客ID]]="","顧客IDが空欄",""),IF(AND(tblQCustomers[[#This Row],[顧客ID]]&lt;&gt;"",COUNTIF(tblQCustomers[顧客ID],tblQCustomers[[#This Row],[顧客ID]])&gt;1),"顧客IDが重複",""),IF(ISNUMBER(FIND("｜",tblQCustomers[[#This Row],[顧客ID]])),"IDに「｜」は使えない",""),IF(tblQCustomers[[#This Row],[会社名]]="","会社名が空欄",""),IF(AND(tblQCustomers[[#This Row],[敬称]]&lt;&gt;"",tblQCustomers[[#This Row],[敬称]]&lt;&gt;"様",tblQCustomers[[#This Row],[敬称]]&lt;&gt;"御中"),"敬称は「様」か「御中」","")))</f>
        <v/>
      </c>
      <c r="M6" s="104" t="str">
        <f>IFERROR(VALUE(MID(tblQCustomers[[#This Row],[顧客ID]],2,20)),"")</f>
        <v/>
      </c>
    </row>
    <row r="7">
      <c r="A7" s="98" t="n"/>
      <c r="B7" s="99" t="n"/>
      <c r="C7" s="98" t="n"/>
      <c r="D7" s="99" t="n"/>
      <c r="E7" s="99" t="n"/>
      <c r="F7" s="99" t="n"/>
      <c r="G7" s="100" t="n"/>
      <c r="H7" s="101" t="n"/>
      <c r="I7" s="98" t="n"/>
      <c r="J7" s="99" t="n"/>
      <c r="K7" s="102" t="str">
        <f>IF(tblQCustomers[[#This Row],[顧客ID]]="","",tblQCustomers[[#This Row],[顧客ID]]&amp;"｜"&amp;tblQCustomers[[#This Row],[会社名]]&amp;IF(tblQCustomers[[#This Row],[部署（既定）]]&lt;&gt;"","（"&amp;tblQCustomers[[#This Row],[部署（既定）]]&amp;"）",""))</f>
        <v/>
      </c>
      <c r="L7" s="103" t="str">
        <f>IF(AND(tblQCustomers[[#This Row],[顧客ID]]="",tblQCustomers[[#This Row],[会社名]]=""),"",_xlfn.TEXTJOIN("／",TRUE,IF(tblQCustomers[[#This Row],[顧客ID]]="","顧客IDが空欄",""),IF(AND(tblQCustomers[[#This Row],[顧客ID]]&lt;&gt;"",COUNTIF(tblQCustomers[顧客ID],tblQCustomers[[#This Row],[顧客ID]])&gt;1),"顧客IDが重複",""),IF(ISNUMBER(FIND("｜",tblQCustomers[[#This Row],[顧客ID]])),"IDに「｜」は使えない",""),IF(tblQCustomers[[#This Row],[会社名]]="","会社名が空欄",""),IF(AND(tblQCustomers[[#This Row],[敬称]]&lt;&gt;"",tblQCustomers[[#This Row],[敬称]]&lt;&gt;"様",tblQCustomers[[#This Row],[敬称]]&lt;&gt;"御中"),"敬称は「様」か「御中」","")))</f>
        <v/>
      </c>
      <c r="M7" s="104" t="str">
        <f>IFERROR(VALUE(MID(tblQCustomers[[#This Row],[顧客ID]],2,20)),"")</f>
        <v/>
      </c>
    </row>
    <row r="8">
      <c r="A8" s="98" t="n"/>
      <c r="B8" s="99" t="n"/>
      <c r="C8" s="98" t="n"/>
      <c r="D8" s="99" t="n"/>
      <c r="E8" s="99" t="n"/>
      <c r="F8" s="99" t="n"/>
      <c r="G8" s="100" t="n"/>
      <c r="H8" s="101" t="n"/>
      <c r="I8" s="98" t="n"/>
      <c r="J8" s="99" t="n"/>
      <c r="K8" s="102" t="str">
        <f>IF(tblQCustomers[[#This Row],[顧客ID]]="","",tblQCustomers[[#This Row],[顧客ID]]&amp;"｜"&amp;tblQCustomers[[#This Row],[会社名]]&amp;IF(tblQCustomers[[#This Row],[部署（既定）]]&lt;&gt;"","（"&amp;tblQCustomers[[#This Row],[部署（既定）]]&amp;"）",""))</f>
        <v/>
      </c>
      <c r="L8" s="103" t="str">
        <f>IF(AND(tblQCustomers[[#This Row],[顧客ID]]="",tblQCustomers[[#This Row],[会社名]]=""),"",_xlfn.TEXTJOIN("／",TRUE,IF(tblQCustomers[[#This Row],[顧客ID]]="","顧客IDが空欄",""),IF(AND(tblQCustomers[[#This Row],[顧客ID]]&lt;&gt;"",COUNTIF(tblQCustomers[顧客ID],tblQCustomers[[#This Row],[顧客ID]])&gt;1),"顧客IDが重複",""),IF(ISNUMBER(FIND("｜",tblQCustomers[[#This Row],[顧客ID]])),"IDに「｜」は使えない",""),IF(tblQCustomers[[#This Row],[会社名]]="","会社名が空欄",""),IF(AND(tblQCustomers[[#This Row],[敬称]]&lt;&gt;"",tblQCustomers[[#This Row],[敬称]]&lt;&gt;"様",tblQCustomers[[#This Row],[敬称]]&lt;&gt;"御中"),"敬称は「様」か「御中」","")))</f>
        <v/>
      </c>
      <c r="M8" s="104" t="str">
        <f>IFERROR(VALUE(MID(tblQCustomers[[#This Row],[顧客ID]],2,20)),"")</f>
        <v/>
      </c>
    </row>
    <row r="9">
      <c r="A9" s="98" t="n"/>
      <c r="B9" s="99" t="n"/>
      <c r="C9" s="98" t="n"/>
      <c r="D9" s="99" t="n"/>
      <c r="E9" s="99" t="n"/>
      <c r="F9" s="99" t="n"/>
      <c r="G9" s="100" t="n"/>
      <c r="H9" s="101" t="n"/>
      <c r="I9" s="98" t="n"/>
      <c r="J9" s="99" t="n"/>
      <c r="K9" s="102" t="str">
        <f>IF(tblQCustomers[[#This Row],[顧客ID]]="","",tblQCustomers[[#This Row],[顧客ID]]&amp;"｜"&amp;tblQCustomers[[#This Row],[会社名]]&amp;IF(tblQCustomers[[#This Row],[部署（既定）]]&lt;&gt;"","（"&amp;tblQCustomers[[#This Row],[部署（既定）]]&amp;"）",""))</f>
        <v/>
      </c>
      <c r="L9" s="103" t="str">
        <f>IF(AND(tblQCustomers[[#This Row],[顧客ID]]="",tblQCustomers[[#This Row],[会社名]]=""),"",_xlfn.TEXTJOIN("／",TRUE,IF(tblQCustomers[[#This Row],[顧客ID]]="","顧客IDが空欄",""),IF(AND(tblQCustomers[[#This Row],[顧客ID]]&lt;&gt;"",COUNTIF(tblQCustomers[顧客ID],tblQCustomers[[#This Row],[顧客ID]])&gt;1),"顧客IDが重複",""),IF(ISNUMBER(FIND("｜",tblQCustomers[[#This Row],[顧客ID]])),"IDに「｜」は使えない",""),IF(tblQCustomers[[#This Row],[会社名]]="","会社名が空欄",""),IF(AND(tblQCustomers[[#This Row],[敬称]]&lt;&gt;"",tblQCustomers[[#This Row],[敬称]]&lt;&gt;"様",tblQCustomers[[#This Row],[敬称]]&lt;&gt;"御中"),"敬称は「様」か「御中」","")))</f>
        <v/>
      </c>
      <c r="M9" s="104" t="str">
        <f>IFERROR(VALUE(MID(tblQCustomers[[#This Row],[顧客ID]],2,20)),"")</f>
        <v/>
      </c>
    </row>
    <row r="10">
      <c r="A10" s="98" t="n"/>
      <c r="B10" s="99" t="n"/>
      <c r="C10" s="98" t="n"/>
      <c r="D10" s="99" t="n"/>
      <c r="E10" s="99" t="n"/>
      <c r="F10" s="99" t="n"/>
      <c r="G10" s="100" t="n"/>
      <c r="H10" s="101" t="n"/>
      <c r="I10" s="98" t="n"/>
      <c r="J10" s="99" t="n"/>
      <c r="K10" s="102" t="str">
        <f>IF(tblQCustomers[[#This Row],[顧客ID]]="","",tblQCustomers[[#This Row],[顧客ID]]&amp;"｜"&amp;tblQCustomers[[#This Row],[会社名]]&amp;IF(tblQCustomers[[#This Row],[部署（既定）]]&lt;&gt;"","（"&amp;tblQCustomers[[#This Row],[部署（既定）]]&amp;"）",""))</f>
        <v/>
      </c>
      <c r="L10" s="103" t="str">
        <f>IF(AND(tblQCustomers[[#This Row],[顧客ID]]="",tblQCustomers[[#This Row],[会社名]]=""),"",_xlfn.TEXTJOIN("／",TRUE,IF(tblQCustomers[[#This Row],[顧客ID]]="","顧客IDが空欄",""),IF(AND(tblQCustomers[[#This Row],[顧客ID]]&lt;&gt;"",COUNTIF(tblQCustomers[顧客ID],tblQCustomers[[#This Row],[顧客ID]])&gt;1),"顧客IDが重複",""),IF(ISNUMBER(FIND("｜",tblQCustomers[[#This Row],[顧客ID]])),"IDに「｜」は使えない",""),IF(tblQCustomers[[#This Row],[会社名]]="","会社名が空欄",""),IF(AND(tblQCustomers[[#This Row],[敬称]]&lt;&gt;"",tblQCustomers[[#This Row],[敬称]]&lt;&gt;"様",tblQCustomers[[#This Row],[敬称]]&lt;&gt;"御中"),"敬称は「様」か「御中」","")))</f>
        <v/>
      </c>
      <c r="M10" s="104" t="str">
        <f>IFERROR(VALUE(MID(tblQCustomers[[#This Row],[顧客ID]],2,20)),"")</f>
        <v/>
      </c>
    </row>
    <row r="11">
      <c r="A11" s="98" t="n"/>
      <c r="B11" s="99" t="n"/>
      <c r="C11" s="98" t="n"/>
      <c r="D11" s="99" t="n"/>
      <c r="E11" s="99" t="n"/>
      <c r="F11" s="99" t="n"/>
      <c r="G11" s="100" t="n"/>
      <c r="H11" s="101" t="n"/>
      <c r="I11" s="98" t="n"/>
      <c r="J11" s="99" t="n"/>
      <c r="K11" s="102" t="str">
        <f>IF(tblQCustomers[[#This Row],[顧客ID]]="","",tblQCustomers[[#This Row],[顧客ID]]&amp;"｜"&amp;tblQCustomers[[#This Row],[会社名]]&amp;IF(tblQCustomers[[#This Row],[部署（既定）]]&lt;&gt;"","（"&amp;tblQCustomers[[#This Row],[部署（既定）]]&amp;"）",""))</f>
        <v/>
      </c>
      <c r="L11" s="103" t="str">
        <f>IF(AND(tblQCustomers[[#This Row],[顧客ID]]="",tblQCustomers[[#This Row],[会社名]]=""),"",_xlfn.TEXTJOIN("／",TRUE,IF(tblQCustomers[[#This Row],[顧客ID]]="","顧客IDが空欄",""),IF(AND(tblQCustomers[[#This Row],[顧客ID]]&lt;&gt;"",COUNTIF(tblQCustomers[顧客ID],tblQCustomers[[#This Row],[顧客ID]])&gt;1),"顧客IDが重複",""),IF(ISNUMBER(FIND("｜",tblQCustomers[[#This Row],[顧客ID]])),"IDに「｜」は使えない",""),IF(tblQCustomers[[#This Row],[会社名]]="","会社名が空欄",""),IF(AND(tblQCustomers[[#This Row],[敬称]]&lt;&gt;"",tblQCustomers[[#This Row],[敬称]]&lt;&gt;"様",tblQCustomers[[#This Row],[敬称]]&lt;&gt;"御中"),"敬称は「様」か「御中」","")))</f>
        <v/>
      </c>
      <c r="M11" s="104" t="str">
        <f>IFERROR(VALUE(MID(tblQCustomers[[#This Row],[顧客ID]],2,20)),"")</f>
        <v/>
      </c>
    </row>
    <row r="12">
      <c r="A12" s="98" t="n"/>
      <c r="B12" s="99" t="n"/>
      <c r="C12" s="98" t="n"/>
      <c r="D12" s="99" t="n"/>
      <c r="E12" s="99" t="n"/>
      <c r="F12" s="99" t="n"/>
      <c r="G12" s="100" t="n"/>
      <c r="H12" s="101" t="n"/>
      <c r="I12" s="98" t="n"/>
      <c r="J12" s="99" t="n"/>
      <c r="K12" s="102" t="str">
        <f>IF(tblQCustomers[[#This Row],[顧客ID]]="","",tblQCustomers[[#This Row],[顧客ID]]&amp;"｜"&amp;tblQCustomers[[#This Row],[会社名]]&amp;IF(tblQCustomers[[#This Row],[部署（既定）]]&lt;&gt;"","（"&amp;tblQCustomers[[#This Row],[部署（既定）]]&amp;"）",""))</f>
        <v/>
      </c>
      <c r="L12" s="103" t="str">
        <f>IF(AND(tblQCustomers[[#This Row],[顧客ID]]="",tblQCustomers[[#This Row],[会社名]]=""),"",_xlfn.TEXTJOIN("／",TRUE,IF(tblQCustomers[[#This Row],[顧客ID]]="","顧客IDが空欄",""),IF(AND(tblQCustomers[[#This Row],[顧客ID]]&lt;&gt;"",COUNTIF(tblQCustomers[顧客ID],tblQCustomers[[#This Row],[顧客ID]])&gt;1),"顧客IDが重複",""),IF(ISNUMBER(FIND("｜",tblQCustomers[[#This Row],[顧客ID]])),"IDに「｜」は使えない",""),IF(tblQCustomers[[#This Row],[会社名]]="","会社名が空欄",""),IF(AND(tblQCustomers[[#This Row],[敬称]]&lt;&gt;"",tblQCustomers[[#This Row],[敬称]]&lt;&gt;"様",tblQCustomers[[#This Row],[敬称]]&lt;&gt;"御中"),"敬称は「様」か「御中」","")))</f>
        <v/>
      </c>
      <c r="M12" s="104" t="str">
        <f>IFERROR(VALUE(MID(tblQCustomers[[#This Row],[顧客ID]],2,20)),"")</f>
        <v/>
      </c>
    </row>
    <row r="13">
      <c r="A13" s="98" t="n"/>
      <c r="B13" s="99" t="n"/>
      <c r="C13" s="98" t="n"/>
      <c r="D13" s="99" t="n"/>
      <c r="E13" s="99" t="n"/>
      <c r="F13" s="99" t="n"/>
      <c r="G13" s="100" t="n"/>
      <c r="H13" s="101" t="n"/>
      <c r="I13" s="98" t="n"/>
      <c r="J13" s="99" t="n"/>
      <c r="K13" s="102" t="str">
        <f>IF(tblQCustomers[[#This Row],[顧客ID]]="","",tblQCustomers[[#This Row],[顧客ID]]&amp;"｜"&amp;tblQCustomers[[#This Row],[会社名]]&amp;IF(tblQCustomers[[#This Row],[部署（既定）]]&lt;&gt;"","（"&amp;tblQCustomers[[#This Row],[部署（既定）]]&amp;"）",""))</f>
        <v/>
      </c>
      <c r="L13" s="103" t="str">
        <f>IF(AND(tblQCustomers[[#This Row],[顧客ID]]="",tblQCustomers[[#This Row],[会社名]]=""),"",_xlfn.TEXTJOIN("／",TRUE,IF(tblQCustomers[[#This Row],[顧客ID]]="","顧客IDが空欄",""),IF(AND(tblQCustomers[[#This Row],[顧客ID]]&lt;&gt;"",COUNTIF(tblQCustomers[顧客ID],tblQCustomers[[#This Row],[顧客ID]])&gt;1),"顧客IDが重複",""),IF(ISNUMBER(FIND("｜",tblQCustomers[[#This Row],[顧客ID]])),"IDに「｜」は使えない",""),IF(tblQCustomers[[#This Row],[会社名]]="","会社名が空欄",""),IF(AND(tblQCustomers[[#This Row],[敬称]]&lt;&gt;"",tblQCustomers[[#This Row],[敬称]]&lt;&gt;"様",tblQCustomers[[#This Row],[敬称]]&lt;&gt;"御中"),"敬称は「様」か「御中」","")))</f>
        <v/>
      </c>
      <c r="M13" s="104" t="str">
        <f>IFERROR(VALUE(MID(tblQCustomers[[#This Row],[顧客ID]],2,20)),"")</f>
        <v/>
      </c>
    </row>
    <row r="14">
      <c r="A14" s="98" t="n"/>
      <c r="B14" s="99" t="n"/>
      <c r="C14" s="98" t="n"/>
      <c r="D14" s="99" t="n"/>
      <c r="E14" s="99" t="n"/>
      <c r="F14" s="99" t="n"/>
      <c r="G14" s="100" t="n"/>
      <c r="H14" s="101" t="n"/>
      <c r="I14" s="98" t="n"/>
      <c r="J14" s="99" t="n"/>
      <c r="K14" s="102" t="str">
        <f>IF(tblQCustomers[[#This Row],[顧客ID]]="","",tblQCustomers[[#This Row],[顧客ID]]&amp;"｜"&amp;tblQCustomers[[#This Row],[会社名]]&amp;IF(tblQCustomers[[#This Row],[部署（既定）]]&lt;&gt;"","（"&amp;tblQCustomers[[#This Row],[部署（既定）]]&amp;"）",""))</f>
        <v/>
      </c>
      <c r="L14" s="103" t="str">
        <f>IF(AND(tblQCustomers[[#This Row],[顧客ID]]="",tblQCustomers[[#This Row],[会社名]]=""),"",_xlfn.TEXTJOIN("／",TRUE,IF(tblQCustomers[[#This Row],[顧客ID]]="","顧客IDが空欄",""),IF(AND(tblQCustomers[[#This Row],[顧客ID]]&lt;&gt;"",COUNTIF(tblQCustomers[顧客ID],tblQCustomers[[#This Row],[顧客ID]])&gt;1),"顧客IDが重複",""),IF(ISNUMBER(FIND("｜",tblQCustomers[[#This Row],[顧客ID]])),"IDに「｜」は使えない",""),IF(tblQCustomers[[#This Row],[会社名]]="","会社名が空欄",""),IF(AND(tblQCustomers[[#This Row],[敬称]]&lt;&gt;"",tblQCustomers[[#This Row],[敬称]]&lt;&gt;"様",tblQCustomers[[#This Row],[敬称]]&lt;&gt;"御中"),"敬称は「様」か「御中」","")))</f>
        <v/>
      </c>
      <c r="M14" s="104" t="str">
        <f>IFERROR(VALUE(MID(tblQCustomers[[#This Row],[顧客ID]],2,20)),"")</f>
        <v/>
      </c>
    </row>
    <row r="15">
      <c r="A15" s="98" t="n"/>
      <c r="B15" s="99" t="n"/>
      <c r="C15" s="98" t="n"/>
      <c r="D15" s="99" t="n"/>
      <c r="E15" s="99" t="n"/>
      <c r="F15" s="99" t="n"/>
      <c r="G15" s="100" t="n"/>
      <c r="H15" s="101" t="n"/>
      <c r="I15" s="98" t="n"/>
      <c r="J15" s="99" t="n"/>
      <c r="K15" s="102" t="str">
        <f>IF(tblQCustomers[[#This Row],[顧客ID]]="","",tblQCustomers[[#This Row],[顧客ID]]&amp;"｜"&amp;tblQCustomers[[#This Row],[会社名]]&amp;IF(tblQCustomers[[#This Row],[部署（既定）]]&lt;&gt;"","（"&amp;tblQCustomers[[#This Row],[部署（既定）]]&amp;"）",""))</f>
        <v/>
      </c>
      <c r="L15" s="103" t="str">
        <f>IF(AND(tblQCustomers[[#This Row],[顧客ID]]="",tblQCustomers[[#This Row],[会社名]]=""),"",_xlfn.TEXTJOIN("／",TRUE,IF(tblQCustomers[[#This Row],[顧客ID]]="","顧客IDが空欄",""),IF(AND(tblQCustomers[[#This Row],[顧客ID]]&lt;&gt;"",COUNTIF(tblQCustomers[顧客ID],tblQCustomers[[#This Row],[顧客ID]])&gt;1),"顧客IDが重複",""),IF(ISNUMBER(FIND("｜",tblQCustomers[[#This Row],[顧客ID]])),"IDに「｜」は使えない",""),IF(tblQCustomers[[#This Row],[会社名]]="","会社名が空欄",""),IF(AND(tblQCustomers[[#This Row],[敬称]]&lt;&gt;"",tblQCustomers[[#This Row],[敬称]]&lt;&gt;"様",tblQCustomers[[#This Row],[敬称]]&lt;&gt;"御中"),"敬称は「様」か「御中」","")))</f>
        <v/>
      </c>
      <c r="M15" s="104" t="str">
        <f>IFERROR(VALUE(MID(tblQCustomers[[#This Row],[顧客ID]],2,20)),"")</f>
        <v/>
      </c>
    </row>
    <row r="16">
      <c r="A16" s="98" t="n"/>
      <c r="B16" s="99" t="n"/>
      <c r="C16" s="98" t="n"/>
      <c r="D16" s="99" t="n"/>
      <c r="E16" s="99" t="n"/>
      <c r="F16" s="99" t="n"/>
      <c r="G16" s="100" t="n"/>
      <c r="H16" s="101" t="n"/>
      <c r="I16" s="98" t="n"/>
      <c r="J16" s="99" t="n"/>
      <c r="K16" s="102" t="str">
        <f>IF(tblQCustomers[[#This Row],[顧客ID]]="","",tblQCustomers[[#This Row],[顧客ID]]&amp;"｜"&amp;tblQCustomers[[#This Row],[会社名]]&amp;IF(tblQCustomers[[#This Row],[部署（既定）]]&lt;&gt;"","（"&amp;tblQCustomers[[#This Row],[部署（既定）]]&amp;"）",""))</f>
        <v/>
      </c>
      <c r="L16" s="103" t="str">
        <f>IF(AND(tblQCustomers[[#This Row],[顧客ID]]="",tblQCustomers[[#This Row],[会社名]]=""),"",_xlfn.TEXTJOIN("／",TRUE,IF(tblQCustomers[[#This Row],[顧客ID]]="","顧客IDが空欄",""),IF(AND(tblQCustomers[[#This Row],[顧客ID]]&lt;&gt;"",COUNTIF(tblQCustomers[顧客ID],tblQCustomers[[#This Row],[顧客ID]])&gt;1),"顧客IDが重複",""),IF(ISNUMBER(FIND("｜",tblQCustomers[[#This Row],[顧客ID]])),"IDに「｜」は使えない",""),IF(tblQCustomers[[#This Row],[会社名]]="","会社名が空欄",""),IF(AND(tblQCustomers[[#This Row],[敬称]]&lt;&gt;"",tblQCustomers[[#This Row],[敬称]]&lt;&gt;"様",tblQCustomers[[#This Row],[敬称]]&lt;&gt;"御中"),"敬称は「様」か「御中」","")))</f>
        <v/>
      </c>
      <c r="M16" s="104" t="str">
        <f>IFERROR(VALUE(MID(tblQCustomers[[#This Row],[顧客ID]],2,20)),"")</f>
        <v/>
      </c>
    </row>
    <row r="17">
      <c r="A17" s="98" t="n"/>
      <c r="B17" s="99" t="n"/>
      <c r="C17" s="98" t="n"/>
      <c r="D17" s="99" t="n"/>
      <c r="E17" s="99" t="n"/>
      <c r="F17" s="99" t="n"/>
      <c r="G17" s="100" t="n"/>
      <c r="H17" s="101" t="n"/>
      <c r="I17" s="98" t="n"/>
      <c r="J17" s="99" t="n"/>
      <c r="K17" s="102" t="str">
        <f>IF(tblQCustomers[[#This Row],[顧客ID]]="","",tblQCustomers[[#This Row],[顧客ID]]&amp;"｜"&amp;tblQCustomers[[#This Row],[会社名]]&amp;IF(tblQCustomers[[#This Row],[部署（既定）]]&lt;&gt;"","（"&amp;tblQCustomers[[#This Row],[部署（既定）]]&amp;"）",""))</f>
        <v/>
      </c>
      <c r="L17" s="103" t="str">
        <f>IF(AND(tblQCustomers[[#This Row],[顧客ID]]="",tblQCustomers[[#This Row],[会社名]]=""),"",_xlfn.TEXTJOIN("／",TRUE,IF(tblQCustomers[[#This Row],[顧客ID]]="","顧客IDが空欄",""),IF(AND(tblQCustomers[[#This Row],[顧客ID]]&lt;&gt;"",COUNTIF(tblQCustomers[顧客ID],tblQCustomers[[#This Row],[顧客ID]])&gt;1),"顧客IDが重複",""),IF(ISNUMBER(FIND("｜",tblQCustomers[[#This Row],[顧客ID]])),"IDに「｜」は使えない",""),IF(tblQCustomers[[#This Row],[会社名]]="","会社名が空欄",""),IF(AND(tblQCustomers[[#This Row],[敬称]]&lt;&gt;"",tblQCustomers[[#This Row],[敬称]]&lt;&gt;"様",tblQCustomers[[#This Row],[敬称]]&lt;&gt;"御中"),"敬称は「様」か「御中」","")))</f>
        <v/>
      </c>
      <c r="M17" s="104" t="str">
        <f>IFERROR(VALUE(MID(tblQCustomers[[#This Row],[顧客ID]],2,20)),"")</f>
        <v/>
      </c>
    </row>
    <row r="18">
      <c r="A18" s="98" t="n"/>
      <c r="B18" s="99" t="n"/>
      <c r="C18" s="98" t="n"/>
      <c r="D18" s="99" t="n"/>
      <c r="E18" s="99" t="n"/>
      <c r="F18" s="99" t="n"/>
      <c r="G18" s="100" t="n"/>
      <c r="H18" s="101" t="n"/>
      <c r="I18" s="98" t="n"/>
      <c r="J18" s="99" t="n"/>
      <c r="K18" s="102" t="str">
        <f>IF(tblQCustomers[[#This Row],[顧客ID]]="","",tblQCustomers[[#This Row],[顧客ID]]&amp;"｜"&amp;tblQCustomers[[#This Row],[会社名]]&amp;IF(tblQCustomers[[#This Row],[部署（既定）]]&lt;&gt;"","（"&amp;tblQCustomers[[#This Row],[部署（既定）]]&amp;"）",""))</f>
        <v/>
      </c>
      <c r="L18" s="103" t="str">
        <f>IF(AND(tblQCustomers[[#This Row],[顧客ID]]="",tblQCustomers[[#This Row],[会社名]]=""),"",_xlfn.TEXTJOIN("／",TRUE,IF(tblQCustomers[[#This Row],[顧客ID]]="","顧客IDが空欄",""),IF(AND(tblQCustomers[[#This Row],[顧客ID]]&lt;&gt;"",COUNTIF(tblQCustomers[顧客ID],tblQCustomers[[#This Row],[顧客ID]])&gt;1),"顧客IDが重複",""),IF(ISNUMBER(FIND("｜",tblQCustomers[[#This Row],[顧客ID]])),"IDに「｜」は使えない",""),IF(tblQCustomers[[#This Row],[会社名]]="","会社名が空欄",""),IF(AND(tblQCustomers[[#This Row],[敬称]]&lt;&gt;"",tblQCustomers[[#This Row],[敬称]]&lt;&gt;"様",tblQCustomers[[#This Row],[敬称]]&lt;&gt;"御中"),"敬称は「様」か「御中」","")))</f>
        <v/>
      </c>
      <c r="M18" s="104" t="str">
        <f>IFERROR(VALUE(MID(tblQCustomers[[#This Row],[顧客ID]],2,20)),"")</f>
        <v/>
      </c>
    </row>
    <row r="19">
      <c r="A19" s="98" t="n"/>
      <c r="B19" s="99" t="n"/>
      <c r="C19" s="98" t="n"/>
      <c r="D19" s="99" t="n"/>
      <c r="E19" s="99" t="n"/>
      <c r="F19" s="99" t="n"/>
      <c r="G19" s="100" t="n"/>
      <c r="H19" s="101" t="n"/>
      <c r="I19" s="98" t="n"/>
      <c r="J19" s="99" t="n"/>
      <c r="K19" s="102" t="str">
        <f>IF(tblQCustomers[[#This Row],[顧客ID]]="","",tblQCustomers[[#This Row],[顧客ID]]&amp;"｜"&amp;tblQCustomers[[#This Row],[会社名]]&amp;IF(tblQCustomers[[#This Row],[部署（既定）]]&lt;&gt;"","（"&amp;tblQCustomers[[#This Row],[部署（既定）]]&amp;"）",""))</f>
        <v/>
      </c>
      <c r="L19" s="103" t="str">
        <f>IF(AND(tblQCustomers[[#This Row],[顧客ID]]="",tblQCustomers[[#This Row],[会社名]]=""),"",_xlfn.TEXTJOIN("／",TRUE,IF(tblQCustomers[[#This Row],[顧客ID]]="","顧客IDが空欄",""),IF(AND(tblQCustomers[[#This Row],[顧客ID]]&lt;&gt;"",COUNTIF(tblQCustomers[顧客ID],tblQCustomers[[#This Row],[顧客ID]])&gt;1),"顧客IDが重複",""),IF(ISNUMBER(FIND("｜",tblQCustomers[[#This Row],[顧客ID]])),"IDに「｜」は使えない",""),IF(tblQCustomers[[#This Row],[会社名]]="","会社名が空欄",""),IF(AND(tblQCustomers[[#This Row],[敬称]]&lt;&gt;"",tblQCustomers[[#This Row],[敬称]]&lt;&gt;"様",tblQCustomers[[#This Row],[敬称]]&lt;&gt;"御中"),"敬称は「様」か「御中」","")))</f>
        <v/>
      </c>
      <c r="M19" s="104" t="str">
        <f>IFERROR(VALUE(MID(tblQCustomers[[#This Row],[顧客ID]],2,20)),"")</f>
        <v/>
      </c>
    </row>
    <row r="20">
      <c r="A20" s="98" t="n"/>
      <c r="B20" s="99" t="n"/>
      <c r="C20" s="98" t="n"/>
      <c r="D20" s="99" t="n"/>
      <c r="E20" s="99" t="n"/>
      <c r="F20" s="99" t="n"/>
      <c r="G20" s="100" t="n"/>
      <c r="H20" s="101" t="n"/>
      <c r="I20" s="98" t="n"/>
      <c r="J20" s="99" t="n"/>
      <c r="K20" s="102" t="str">
        <f>IF(tblQCustomers[[#This Row],[顧客ID]]="","",tblQCustomers[[#This Row],[顧客ID]]&amp;"｜"&amp;tblQCustomers[[#This Row],[会社名]]&amp;IF(tblQCustomers[[#This Row],[部署（既定）]]&lt;&gt;"","（"&amp;tblQCustomers[[#This Row],[部署（既定）]]&amp;"）",""))</f>
        <v/>
      </c>
      <c r="L20" s="103" t="str">
        <f>IF(AND(tblQCustomers[[#This Row],[顧客ID]]="",tblQCustomers[[#This Row],[会社名]]=""),"",_xlfn.TEXTJOIN("／",TRUE,IF(tblQCustomers[[#This Row],[顧客ID]]="","顧客IDが空欄",""),IF(AND(tblQCustomers[[#This Row],[顧客ID]]&lt;&gt;"",COUNTIF(tblQCustomers[顧客ID],tblQCustomers[[#This Row],[顧客ID]])&gt;1),"顧客IDが重複",""),IF(ISNUMBER(FIND("｜",tblQCustomers[[#This Row],[顧客ID]])),"IDに「｜」は使えない",""),IF(tblQCustomers[[#This Row],[会社名]]="","会社名が空欄",""),IF(AND(tblQCustomers[[#This Row],[敬称]]&lt;&gt;"",tblQCustomers[[#This Row],[敬称]]&lt;&gt;"様",tblQCustomers[[#This Row],[敬称]]&lt;&gt;"御中"),"敬称は「様」か「御中」","")))</f>
        <v/>
      </c>
      <c r="M20" s="104" t="str">
        <f>IFERROR(VALUE(MID(tblQCustomers[[#This Row],[顧客ID]],2,20)),"")</f>
        <v/>
      </c>
    </row>
    <row r="21">
      <c r="A21" s="98" t="n"/>
      <c r="B21" s="99" t="n"/>
      <c r="C21" s="98" t="n"/>
      <c r="D21" s="99" t="n"/>
      <c r="E21" s="99" t="n"/>
      <c r="F21" s="99" t="n"/>
      <c r="G21" s="100" t="n"/>
      <c r="H21" s="101" t="n"/>
      <c r="I21" s="98" t="n"/>
      <c r="J21" s="99" t="n"/>
      <c r="K21" s="102" t="str">
        <f>IF(tblQCustomers[[#This Row],[顧客ID]]="","",tblQCustomers[[#This Row],[顧客ID]]&amp;"｜"&amp;tblQCustomers[[#This Row],[会社名]]&amp;IF(tblQCustomers[[#This Row],[部署（既定）]]&lt;&gt;"","（"&amp;tblQCustomers[[#This Row],[部署（既定）]]&amp;"）",""))</f>
        <v/>
      </c>
      <c r="L21" s="103" t="str">
        <f>IF(AND(tblQCustomers[[#This Row],[顧客ID]]="",tblQCustomers[[#This Row],[会社名]]=""),"",_xlfn.TEXTJOIN("／",TRUE,IF(tblQCustomers[[#This Row],[顧客ID]]="","顧客IDが空欄",""),IF(AND(tblQCustomers[[#This Row],[顧客ID]]&lt;&gt;"",COUNTIF(tblQCustomers[顧客ID],tblQCustomers[[#This Row],[顧客ID]])&gt;1),"顧客IDが重複",""),IF(ISNUMBER(FIND("｜",tblQCustomers[[#This Row],[顧客ID]])),"IDに「｜」は使えない",""),IF(tblQCustomers[[#This Row],[会社名]]="","会社名が空欄",""),IF(AND(tblQCustomers[[#This Row],[敬称]]&lt;&gt;"",tblQCustomers[[#This Row],[敬称]]&lt;&gt;"様",tblQCustomers[[#This Row],[敬称]]&lt;&gt;"御中"),"敬称は「様」か「御中」","")))</f>
        <v/>
      </c>
      <c r="M21" s="104" t="str">
        <f>IFERROR(VALUE(MID(tblQCustomers[[#This Row],[顧客ID]],2,20)),"")</f>
        <v/>
      </c>
    </row>
    <row r="22">
      <c r="A22" s="98" t="n"/>
      <c r="B22" s="99" t="n"/>
      <c r="C22" s="98" t="n"/>
      <c r="D22" s="99" t="n"/>
      <c r="E22" s="99" t="n"/>
      <c r="F22" s="99" t="n"/>
      <c r="G22" s="100" t="n"/>
      <c r="H22" s="101" t="n"/>
      <c r="I22" s="98" t="n"/>
      <c r="J22" s="99" t="n"/>
      <c r="K22" s="102" t="str">
        <f>IF(tblQCustomers[[#This Row],[顧客ID]]="","",tblQCustomers[[#This Row],[顧客ID]]&amp;"｜"&amp;tblQCustomers[[#This Row],[会社名]]&amp;IF(tblQCustomers[[#This Row],[部署（既定）]]&lt;&gt;"","（"&amp;tblQCustomers[[#This Row],[部署（既定）]]&amp;"）",""))</f>
        <v/>
      </c>
      <c r="L22" s="103" t="str">
        <f>IF(AND(tblQCustomers[[#This Row],[顧客ID]]="",tblQCustomers[[#This Row],[会社名]]=""),"",_xlfn.TEXTJOIN("／",TRUE,IF(tblQCustomers[[#This Row],[顧客ID]]="","顧客IDが空欄",""),IF(AND(tblQCustomers[[#This Row],[顧客ID]]&lt;&gt;"",COUNTIF(tblQCustomers[顧客ID],tblQCustomers[[#This Row],[顧客ID]])&gt;1),"顧客IDが重複",""),IF(ISNUMBER(FIND("｜",tblQCustomers[[#This Row],[顧客ID]])),"IDに「｜」は使えない",""),IF(tblQCustomers[[#This Row],[会社名]]="","会社名が空欄",""),IF(AND(tblQCustomers[[#This Row],[敬称]]&lt;&gt;"",tblQCustomers[[#This Row],[敬称]]&lt;&gt;"様",tblQCustomers[[#This Row],[敬称]]&lt;&gt;"御中"),"敬称は「様」か「御中」","")))</f>
        <v/>
      </c>
      <c r="M22" s="104" t="str">
        <f>IFERROR(VALUE(MID(tblQCustomers[[#This Row],[顧客ID]],2,20)),"")</f>
        <v/>
      </c>
    </row>
    <row r="23">
      <c r="A23" s="98" t="n"/>
      <c r="B23" s="99" t="n"/>
      <c r="C23" s="98" t="n"/>
      <c r="D23" s="99" t="n"/>
      <c r="E23" s="99" t="n"/>
      <c r="F23" s="99" t="n"/>
      <c r="G23" s="100" t="n"/>
      <c r="H23" s="101" t="n"/>
      <c r="I23" s="98" t="n"/>
      <c r="J23" s="99" t="n"/>
      <c r="K23" s="102" t="str">
        <f>IF(tblQCustomers[[#This Row],[顧客ID]]="","",tblQCustomers[[#This Row],[顧客ID]]&amp;"｜"&amp;tblQCustomers[[#This Row],[会社名]]&amp;IF(tblQCustomers[[#This Row],[部署（既定）]]&lt;&gt;"","（"&amp;tblQCustomers[[#This Row],[部署（既定）]]&amp;"）",""))</f>
        <v/>
      </c>
      <c r="L23" s="103" t="str">
        <f>IF(AND(tblQCustomers[[#This Row],[顧客ID]]="",tblQCustomers[[#This Row],[会社名]]=""),"",_xlfn.TEXTJOIN("／",TRUE,IF(tblQCustomers[[#This Row],[顧客ID]]="","顧客IDが空欄",""),IF(AND(tblQCustomers[[#This Row],[顧客ID]]&lt;&gt;"",COUNTIF(tblQCustomers[顧客ID],tblQCustomers[[#This Row],[顧客ID]])&gt;1),"顧客IDが重複",""),IF(ISNUMBER(FIND("｜",tblQCustomers[[#This Row],[顧客ID]])),"IDに「｜」は使えない",""),IF(tblQCustomers[[#This Row],[会社名]]="","会社名が空欄",""),IF(AND(tblQCustomers[[#This Row],[敬称]]&lt;&gt;"",tblQCustomers[[#This Row],[敬称]]&lt;&gt;"様",tblQCustomers[[#This Row],[敬称]]&lt;&gt;"御中"),"敬称は「様」か「御中」","")))</f>
        <v/>
      </c>
      <c r="M23" s="104" t="str">
        <f>IFERROR(VALUE(MID(tblQCustomers[[#This Row],[顧客ID]],2,20)),"")</f>
        <v/>
      </c>
    </row>
    <row r="24">
      <c r="A24" s="98" t="n"/>
      <c r="B24" s="99" t="n"/>
      <c r="C24" s="98" t="n"/>
      <c r="D24" s="99" t="n"/>
      <c r="E24" s="99" t="n"/>
      <c r="F24" s="99" t="n"/>
      <c r="G24" s="100" t="n"/>
      <c r="H24" s="101" t="n"/>
      <c r="I24" s="98" t="n"/>
      <c r="J24" s="99" t="n"/>
      <c r="K24" s="102" t="str">
        <f>IF(tblQCustomers[[#This Row],[顧客ID]]="","",tblQCustomers[[#This Row],[顧客ID]]&amp;"｜"&amp;tblQCustomers[[#This Row],[会社名]]&amp;IF(tblQCustomers[[#This Row],[部署（既定）]]&lt;&gt;"","（"&amp;tblQCustomers[[#This Row],[部署（既定）]]&amp;"）",""))</f>
        <v/>
      </c>
      <c r="L24" s="103" t="str">
        <f>IF(AND(tblQCustomers[[#This Row],[顧客ID]]="",tblQCustomers[[#This Row],[会社名]]=""),"",_xlfn.TEXTJOIN("／",TRUE,IF(tblQCustomers[[#This Row],[顧客ID]]="","顧客IDが空欄",""),IF(AND(tblQCustomers[[#This Row],[顧客ID]]&lt;&gt;"",COUNTIF(tblQCustomers[顧客ID],tblQCustomers[[#This Row],[顧客ID]])&gt;1),"顧客IDが重複",""),IF(ISNUMBER(FIND("｜",tblQCustomers[[#This Row],[顧客ID]])),"IDに「｜」は使えない",""),IF(tblQCustomers[[#This Row],[会社名]]="","会社名が空欄",""),IF(AND(tblQCustomers[[#This Row],[敬称]]&lt;&gt;"",tblQCustomers[[#This Row],[敬称]]&lt;&gt;"様",tblQCustomers[[#This Row],[敬称]]&lt;&gt;"御中"),"敬称は「様」か「御中」","")))</f>
        <v/>
      </c>
      <c r="M24" s="104" t="str">
        <f>IFERROR(VALUE(MID(tblQCustomers[[#This Row],[顧客ID]],2,20)),"")</f>
        <v/>
      </c>
    </row>
    <row r="25">
      <c r="A25" s="98" t="n"/>
      <c r="B25" s="99" t="n"/>
      <c r="C25" s="98" t="n"/>
      <c r="D25" s="99" t="n"/>
      <c r="E25" s="99" t="n"/>
      <c r="F25" s="99" t="n"/>
      <c r="G25" s="100" t="n"/>
      <c r="H25" s="101" t="n"/>
      <c r="I25" s="98" t="n"/>
      <c r="J25" s="99" t="n"/>
      <c r="K25" s="102" t="str">
        <f>IF(tblQCustomers[[#This Row],[顧客ID]]="","",tblQCustomers[[#This Row],[顧客ID]]&amp;"｜"&amp;tblQCustomers[[#This Row],[会社名]]&amp;IF(tblQCustomers[[#This Row],[部署（既定）]]&lt;&gt;"","（"&amp;tblQCustomers[[#This Row],[部署（既定）]]&amp;"）",""))</f>
        <v/>
      </c>
      <c r="L25" s="103" t="str">
        <f>IF(AND(tblQCustomers[[#This Row],[顧客ID]]="",tblQCustomers[[#This Row],[会社名]]=""),"",_xlfn.TEXTJOIN("／",TRUE,IF(tblQCustomers[[#This Row],[顧客ID]]="","顧客IDが空欄",""),IF(AND(tblQCustomers[[#This Row],[顧客ID]]&lt;&gt;"",COUNTIF(tblQCustomers[顧客ID],tblQCustomers[[#This Row],[顧客ID]])&gt;1),"顧客IDが重複",""),IF(ISNUMBER(FIND("｜",tblQCustomers[[#This Row],[顧客ID]])),"IDに「｜」は使えない",""),IF(tblQCustomers[[#This Row],[会社名]]="","会社名が空欄",""),IF(AND(tblQCustomers[[#This Row],[敬称]]&lt;&gt;"",tblQCustomers[[#This Row],[敬称]]&lt;&gt;"様",tblQCustomers[[#This Row],[敬称]]&lt;&gt;"御中"),"敬称は「様」か「御中」","")))</f>
        <v/>
      </c>
      <c r="M25" s="104" t="str">
        <f>IFERROR(VALUE(MID(tblQCustomers[[#This Row],[顧客ID]],2,20)),"")</f>
        <v/>
      </c>
    </row>
    <row r="26">
      <c r="A26" s="98" t="n"/>
      <c r="B26" s="99" t="n"/>
      <c r="C26" s="98" t="n"/>
      <c r="D26" s="99" t="n"/>
      <c r="E26" s="99" t="n"/>
      <c r="F26" s="99" t="n"/>
      <c r="G26" s="100" t="n"/>
      <c r="H26" s="101" t="n"/>
      <c r="I26" s="98" t="n"/>
      <c r="J26" s="99" t="n"/>
      <c r="K26" s="102" t="str">
        <f>IF(tblQCustomers[[#This Row],[顧客ID]]="","",tblQCustomers[[#This Row],[顧客ID]]&amp;"｜"&amp;tblQCustomers[[#This Row],[会社名]]&amp;IF(tblQCustomers[[#This Row],[部署（既定）]]&lt;&gt;"","（"&amp;tblQCustomers[[#This Row],[部署（既定）]]&amp;"）",""))</f>
        <v/>
      </c>
      <c r="L26" s="103" t="str">
        <f>IF(AND(tblQCustomers[[#This Row],[顧客ID]]="",tblQCustomers[[#This Row],[会社名]]=""),"",_xlfn.TEXTJOIN("／",TRUE,IF(tblQCustomers[[#This Row],[顧客ID]]="","顧客IDが空欄",""),IF(AND(tblQCustomers[[#This Row],[顧客ID]]&lt;&gt;"",COUNTIF(tblQCustomers[顧客ID],tblQCustomers[[#This Row],[顧客ID]])&gt;1),"顧客IDが重複",""),IF(ISNUMBER(FIND("｜",tblQCustomers[[#This Row],[顧客ID]])),"IDに「｜」は使えない",""),IF(tblQCustomers[[#This Row],[会社名]]="","会社名が空欄",""),IF(AND(tblQCustomers[[#This Row],[敬称]]&lt;&gt;"",tblQCustomers[[#This Row],[敬称]]&lt;&gt;"様",tblQCustomers[[#This Row],[敬称]]&lt;&gt;"御中"),"敬称は「様」か「御中」","")))</f>
        <v/>
      </c>
      <c r="M26" s="104" t="str">
        <f>IFERROR(VALUE(MID(tblQCustomers[[#This Row],[顧客ID]],2,20)),"")</f>
        <v/>
      </c>
    </row>
    <row r="27">
      <c r="A27" s="98" t="n"/>
      <c r="B27" s="99" t="n"/>
      <c r="C27" s="98" t="n"/>
      <c r="D27" s="99" t="n"/>
      <c r="E27" s="99" t="n"/>
      <c r="F27" s="99" t="n"/>
      <c r="G27" s="100" t="n"/>
      <c r="H27" s="101" t="n"/>
      <c r="I27" s="98" t="n"/>
      <c r="J27" s="99" t="n"/>
      <c r="K27" s="102" t="str">
        <f>IF(tblQCustomers[[#This Row],[顧客ID]]="","",tblQCustomers[[#This Row],[顧客ID]]&amp;"｜"&amp;tblQCustomers[[#This Row],[会社名]]&amp;IF(tblQCustomers[[#This Row],[部署（既定）]]&lt;&gt;"","（"&amp;tblQCustomers[[#This Row],[部署（既定）]]&amp;"）",""))</f>
        <v/>
      </c>
      <c r="L27" s="103" t="str">
        <f>IF(AND(tblQCustomers[[#This Row],[顧客ID]]="",tblQCustomers[[#This Row],[会社名]]=""),"",_xlfn.TEXTJOIN("／",TRUE,IF(tblQCustomers[[#This Row],[顧客ID]]="","顧客IDが空欄",""),IF(AND(tblQCustomers[[#This Row],[顧客ID]]&lt;&gt;"",COUNTIF(tblQCustomers[顧客ID],tblQCustomers[[#This Row],[顧客ID]])&gt;1),"顧客IDが重複",""),IF(ISNUMBER(FIND("｜",tblQCustomers[[#This Row],[顧客ID]])),"IDに「｜」は使えない",""),IF(tblQCustomers[[#This Row],[会社名]]="","会社名が空欄",""),IF(AND(tblQCustomers[[#This Row],[敬称]]&lt;&gt;"",tblQCustomers[[#This Row],[敬称]]&lt;&gt;"様",tblQCustomers[[#This Row],[敬称]]&lt;&gt;"御中"),"敬称は「様」か「御中」","")))</f>
        <v/>
      </c>
      <c r="M27" s="104" t="str">
        <f>IFERROR(VALUE(MID(tblQCustomers[[#This Row],[顧客ID]],2,20)),"")</f>
        <v/>
      </c>
    </row>
    <row r="28">
      <c r="A28" s="98" t="n"/>
      <c r="B28" s="99" t="n"/>
      <c r="C28" s="98" t="n"/>
      <c r="D28" s="99" t="n"/>
      <c r="E28" s="99" t="n"/>
      <c r="F28" s="99" t="n"/>
      <c r="G28" s="100" t="n"/>
      <c r="H28" s="101" t="n"/>
      <c r="I28" s="98" t="n"/>
      <c r="J28" s="99" t="n"/>
      <c r="K28" s="102" t="str">
        <f>IF(tblQCustomers[[#This Row],[顧客ID]]="","",tblQCustomers[[#This Row],[顧客ID]]&amp;"｜"&amp;tblQCustomers[[#This Row],[会社名]]&amp;IF(tblQCustomers[[#This Row],[部署（既定）]]&lt;&gt;"","（"&amp;tblQCustomers[[#This Row],[部署（既定）]]&amp;"）",""))</f>
        <v/>
      </c>
      <c r="L28" s="103" t="str">
        <f>IF(AND(tblQCustomers[[#This Row],[顧客ID]]="",tblQCustomers[[#This Row],[会社名]]=""),"",_xlfn.TEXTJOIN("／",TRUE,IF(tblQCustomers[[#This Row],[顧客ID]]="","顧客IDが空欄",""),IF(AND(tblQCustomers[[#This Row],[顧客ID]]&lt;&gt;"",COUNTIF(tblQCustomers[顧客ID],tblQCustomers[[#This Row],[顧客ID]])&gt;1),"顧客IDが重複",""),IF(ISNUMBER(FIND("｜",tblQCustomers[[#This Row],[顧客ID]])),"IDに「｜」は使えない",""),IF(tblQCustomers[[#This Row],[会社名]]="","会社名が空欄",""),IF(AND(tblQCustomers[[#This Row],[敬称]]&lt;&gt;"",tblQCustomers[[#This Row],[敬称]]&lt;&gt;"様",tblQCustomers[[#This Row],[敬称]]&lt;&gt;"御中"),"敬称は「様」か「御中」","")))</f>
        <v/>
      </c>
      <c r="M28" s="104" t="str">
        <f>IFERROR(VALUE(MID(tblQCustomers[[#This Row],[顧客ID]],2,20)),"")</f>
        <v/>
      </c>
    </row>
    <row r="29">
      <c r="A29" s="98" t="n"/>
      <c r="B29" s="99" t="n"/>
      <c r="C29" s="98" t="n"/>
      <c r="D29" s="99" t="n"/>
      <c r="E29" s="99" t="n"/>
      <c r="F29" s="99" t="n"/>
      <c r="G29" s="100" t="n"/>
      <c r="H29" s="101" t="n"/>
      <c r="I29" s="98" t="n"/>
      <c r="J29" s="99" t="n"/>
      <c r="K29" s="102" t="str">
        <f>IF(tblQCustomers[[#This Row],[顧客ID]]="","",tblQCustomers[[#This Row],[顧客ID]]&amp;"｜"&amp;tblQCustomers[[#This Row],[会社名]]&amp;IF(tblQCustomers[[#This Row],[部署（既定）]]&lt;&gt;"","（"&amp;tblQCustomers[[#This Row],[部署（既定）]]&amp;"）",""))</f>
        <v/>
      </c>
      <c r="L29" s="103" t="str">
        <f>IF(AND(tblQCustomers[[#This Row],[顧客ID]]="",tblQCustomers[[#This Row],[会社名]]=""),"",_xlfn.TEXTJOIN("／",TRUE,IF(tblQCustomers[[#This Row],[顧客ID]]="","顧客IDが空欄",""),IF(AND(tblQCustomers[[#This Row],[顧客ID]]&lt;&gt;"",COUNTIF(tblQCustomers[顧客ID],tblQCustomers[[#This Row],[顧客ID]])&gt;1),"顧客IDが重複",""),IF(ISNUMBER(FIND("｜",tblQCustomers[[#This Row],[顧客ID]])),"IDに「｜」は使えない",""),IF(tblQCustomers[[#This Row],[会社名]]="","会社名が空欄",""),IF(AND(tblQCustomers[[#This Row],[敬称]]&lt;&gt;"",tblQCustomers[[#This Row],[敬称]]&lt;&gt;"様",tblQCustomers[[#This Row],[敬称]]&lt;&gt;"御中"),"敬称は「様」か「御中」","")))</f>
        <v/>
      </c>
      <c r="M29" s="104" t="str">
        <f>IFERROR(VALUE(MID(tblQCustomers[[#This Row],[顧客ID]],2,20)),"")</f>
        <v/>
      </c>
    </row>
    <row r="30">
      <c r="A30" s="98" t="n"/>
      <c r="B30" s="99" t="n"/>
      <c r="C30" s="98" t="n"/>
      <c r="D30" s="99" t="n"/>
      <c r="E30" s="99" t="n"/>
      <c r="F30" s="99" t="n"/>
      <c r="G30" s="100" t="n"/>
      <c r="H30" s="101" t="n"/>
      <c r="I30" s="98" t="n"/>
      <c r="J30" s="99" t="n"/>
      <c r="K30" s="102" t="str">
        <f>IF(tblQCustomers[[#This Row],[顧客ID]]="","",tblQCustomers[[#This Row],[顧客ID]]&amp;"｜"&amp;tblQCustomers[[#This Row],[会社名]]&amp;IF(tblQCustomers[[#This Row],[部署（既定）]]&lt;&gt;"","（"&amp;tblQCustomers[[#This Row],[部署（既定）]]&amp;"）",""))</f>
        <v/>
      </c>
      <c r="L30" s="103" t="str">
        <f>IF(AND(tblQCustomers[[#This Row],[顧客ID]]="",tblQCustomers[[#This Row],[会社名]]=""),"",_xlfn.TEXTJOIN("／",TRUE,IF(tblQCustomers[[#This Row],[顧客ID]]="","顧客IDが空欄",""),IF(AND(tblQCustomers[[#This Row],[顧客ID]]&lt;&gt;"",COUNTIF(tblQCustomers[顧客ID],tblQCustomers[[#This Row],[顧客ID]])&gt;1),"顧客IDが重複",""),IF(ISNUMBER(FIND("｜",tblQCustomers[[#This Row],[顧客ID]])),"IDに「｜」は使えない",""),IF(tblQCustomers[[#This Row],[会社名]]="","会社名が空欄",""),IF(AND(tblQCustomers[[#This Row],[敬称]]&lt;&gt;"",tblQCustomers[[#This Row],[敬称]]&lt;&gt;"様",tblQCustomers[[#This Row],[敬称]]&lt;&gt;"御中"),"敬称は「様」か「御中」","")))</f>
        <v/>
      </c>
      <c r="M30" s="104" t="str">
        <f>IFERROR(VALUE(MID(tblQCustomers[[#This Row],[顧客ID]],2,20)),"")</f>
        <v/>
      </c>
    </row>
    <row r="31">
      <c r="A31" s="98" t="n"/>
      <c r="B31" s="99" t="n"/>
      <c r="C31" s="98" t="n"/>
      <c r="D31" s="99" t="n"/>
      <c r="E31" s="99" t="n"/>
      <c r="F31" s="99" t="n"/>
      <c r="G31" s="100" t="n"/>
      <c r="H31" s="101" t="n"/>
      <c r="I31" s="98" t="n"/>
      <c r="J31" s="99" t="n"/>
      <c r="K31" s="102" t="str">
        <f>IF(tblQCustomers[[#This Row],[顧客ID]]="","",tblQCustomers[[#This Row],[顧客ID]]&amp;"｜"&amp;tblQCustomers[[#This Row],[会社名]]&amp;IF(tblQCustomers[[#This Row],[部署（既定）]]&lt;&gt;"","（"&amp;tblQCustomers[[#This Row],[部署（既定）]]&amp;"）",""))</f>
        <v/>
      </c>
      <c r="L31" s="103" t="str">
        <f>IF(AND(tblQCustomers[[#This Row],[顧客ID]]="",tblQCustomers[[#This Row],[会社名]]=""),"",_xlfn.TEXTJOIN("／",TRUE,IF(tblQCustomers[[#This Row],[顧客ID]]="","顧客IDが空欄",""),IF(AND(tblQCustomers[[#This Row],[顧客ID]]&lt;&gt;"",COUNTIF(tblQCustomers[顧客ID],tblQCustomers[[#This Row],[顧客ID]])&gt;1),"顧客IDが重複",""),IF(ISNUMBER(FIND("｜",tblQCustomers[[#This Row],[顧客ID]])),"IDに「｜」は使えない",""),IF(tblQCustomers[[#This Row],[会社名]]="","会社名が空欄",""),IF(AND(tblQCustomers[[#This Row],[敬称]]&lt;&gt;"",tblQCustomers[[#This Row],[敬称]]&lt;&gt;"様",tblQCustomers[[#This Row],[敬称]]&lt;&gt;"御中"),"敬称は「様」か「御中」","")))</f>
        <v/>
      </c>
      <c r="M31" s="104" t="str">
        <f>IFERROR(VALUE(MID(tblQCustomers[[#This Row],[顧客ID]],2,20)),"")</f>
        <v/>
      </c>
    </row>
    <row r="32">
      <c r="A32" s="98" t="n"/>
      <c r="B32" s="99" t="n"/>
      <c r="C32" s="98" t="n"/>
      <c r="D32" s="99" t="n"/>
      <c r="E32" s="99" t="n"/>
      <c r="F32" s="99" t="n"/>
      <c r="G32" s="100" t="n"/>
      <c r="H32" s="101" t="n"/>
      <c r="I32" s="98" t="n"/>
      <c r="J32" s="99" t="n"/>
      <c r="K32" s="102" t="str">
        <f>IF(tblQCustomers[[#This Row],[顧客ID]]="","",tblQCustomers[[#This Row],[顧客ID]]&amp;"｜"&amp;tblQCustomers[[#This Row],[会社名]]&amp;IF(tblQCustomers[[#This Row],[部署（既定）]]&lt;&gt;"","（"&amp;tblQCustomers[[#This Row],[部署（既定）]]&amp;"）",""))</f>
        <v/>
      </c>
      <c r="L32" s="103" t="str">
        <f>IF(AND(tblQCustomers[[#This Row],[顧客ID]]="",tblQCustomers[[#This Row],[会社名]]=""),"",_xlfn.TEXTJOIN("／",TRUE,IF(tblQCustomers[[#This Row],[顧客ID]]="","顧客IDが空欄",""),IF(AND(tblQCustomers[[#This Row],[顧客ID]]&lt;&gt;"",COUNTIF(tblQCustomers[顧客ID],tblQCustomers[[#This Row],[顧客ID]])&gt;1),"顧客IDが重複",""),IF(ISNUMBER(FIND("｜",tblQCustomers[[#This Row],[顧客ID]])),"IDに「｜」は使えない",""),IF(tblQCustomers[[#This Row],[会社名]]="","会社名が空欄",""),IF(AND(tblQCustomers[[#This Row],[敬称]]&lt;&gt;"",tblQCustomers[[#This Row],[敬称]]&lt;&gt;"様",tblQCustomers[[#This Row],[敬称]]&lt;&gt;"御中"),"敬称は「様」か「御中」","")))</f>
        <v/>
      </c>
      <c r="M32" s="104" t="str">
        <f>IFERROR(VALUE(MID(tblQCustomers[[#This Row],[顧客ID]],2,20)),"")</f>
        <v/>
      </c>
    </row>
    <row r="33">
      <c r="A33" s="98" t="n"/>
      <c r="B33" s="99" t="n"/>
      <c r="C33" s="98" t="n"/>
      <c r="D33" s="99" t="n"/>
      <c r="E33" s="99" t="n"/>
      <c r="F33" s="99" t="n"/>
      <c r="G33" s="100" t="n"/>
      <c r="H33" s="101" t="n"/>
      <c r="I33" s="98" t="n"/>
      <c r="J33" s="99" t="n"/>
      <c r="K33" s="102" t="str">
        <f>IF(tblQCustomers[[#This Row],[顧客ID]]="","",tblQCustomers[[#This Row],[顧客ID]]&amp;"｜"&amp;tblQCustomers[[#This Row],[会社名]]&amp;IF(tblQCustomers[[#This Row],[部署（既定）]]&lt;&gt;"","（"&amp;tblQCustomers[[#This Row],[部署（既定）]]&amp;"）",""))</f>
        <v/>
      </c>
      <c r="L33" s="103" t="str">
        <f>IF(AND(tblQCustomers[[#This Row],[顧客ID]]="",tblQCustomers[[#This Row],[会社名]]=""),"",_xlfn.TEXTJOIN("／",TRUE,IF(tblQCustomers[[#This Row],[顧客ID]]="","顧客IDが空欄",""),IF(AND(tblQCustomers[[#This Row],[顧客ID]]&lt;&gt;"",COUNTIF(tblQCustomers[顧客ID],tblQCustomers[[#This Row],[顧客ID]])&gt;1),"顧客IDが重複",""),IF(ISNUMBER(FIND("｜",tblQCustomers[[#This Row],[顧客ID]])),"IDに「｜」は使えない",""),IF(tblQCustomers[[#This Row],[会社名]]="","会社名が空欄",""),IF(AND(tblQCustomers[[#This Row],[敬称]]&lt;&gt;"",tblQCustomers[[#This Row],[敬称]]&lt;&gt;"様",tblQCustomers[[#This Row],[敬称]]&lt;&gt;"御中"),"敬称は「様」か「御中」","")))</f>
        <v/>
      </c>
      <c r="M33" s="104" t="str">
        <f>IFERROR(VALUE(MID(tblQCustomers[[#This Row],[顧客ID]],2,20)),"")</f>
        <v/>
      </c>
    </row>
    <row r="34">
      <c r="A34" s="98" t="n"/>
      <c r="B34" s="99" t="n"/>
      <c r="C34" s="98" t="n"/>
      <c r="D34" s="99" t="n"/>
      <c r="E34" s="99" t="n"/>
      <c r="F34" s="99" t="n"/>
      <c r="G34" s="100" t="n"/>
      <c r="H34" s="101" t="n"/>
      <c r="I34" s="98" t="n"/>
      <c r="J34" s="99" t="n"/>
      <c r="K34" s="102" t="str">
        <f>IF(tblQCustomers[[#This Row],[顧客ID]]="","",tblQCustomers[[#This Row],[顧客ID]]&amp;"｜"&amp;tblQCustomers[[#This Row],[会社名]]&amp;IF(tblQCustomers[[#This Row],[部署（既定）]]&lt;&gt;"","（"&amp;tblQCustomers[[#This Row],[部署（既定）]]&amp;"）",""))</f>
        <v/>
      </c>
      <c r="L34" s="103" t="str">
        <f>IF(AND(tblQCustomers[[#This Row],[顧客ID]]="",tblQCustomers[[#This Row],[会社名]]=""),"",_xlfn.TEXTJOIN("／",TRUE,IF(tblQCustomers[[#This Row],[顧客ID]]="","顧客IDが空欄",""),IF(AND(tblQCustomers[[#This Row],[顧客ID]]&lt;&gt;"",COUNTIF(tblQCustomers[顧客ID],tblQCustomers[[#This Row],[顧客ID]])&gt;1),"顧客IDが重複",""),IF(ISNUMBER(FIND("｜",tblQCustomers[[#This Row],[顧客ID]])),"IDに「｜」は使えない",""),IF(tblQCustomers[[#This Row],[会社名]]="","会社名が空欄",""),IF(AND(tblQCustomers[[#This Row],[敬称]]&lt;&gt;"",tblQCustomers[[#This Row],[敬称]]&lt;&gt;"様",tblQCustomers[[#This Row],[敬称]]&lt;&gt;"御中"),"敬称は「様」か「御中」","")))</f>
        <v/>
      </c>
      <c r="M34" s="104" t="str">
        <f>IFERROR(VALUE(MID(tblQCustomers[[#This Row],[顧客ID]],2,20)),"")</f>
        <v/>
      </c>
    </row>
  </sheetData>
  <conditionalFormatting sqref="L6:L1000">
    <cfRule type="expression" priority="1" dxfId="3" stopIfTrue="1">
      <formula>L6&lt;&gt;""</formula>
    </cfRule>
  </conditionalFormatting>
  <dataValidations count="2">
    <dataValidation sqref="A6:A1000" showDropDown="0" showInputMessage="0" showErrorMessage="1" allowBlank="1" errorTitle="IDの重複" error="同じIDが既にあります。IDは重複させず、上の「次のID候補」を使ってください。" type="custom" errorStyle="warning">
      <formula1>COUNTIF($A$6:$A$1000,A6)&lt;=1</formula1>
    </dataValidation>
    <dataValidation sqref="H6:H1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"様,御中"</formula1>
    </dataValidation>
  </dataValidations>
  <hyperlinks>
    <hyperlink ref="L1" location="'01_入力'!A1" display="← 01_入力へ"/>
  </hyperlinks>
  <printOptions horizontalCentered="1"/>
  <pageMargins left="0.4" right="0.4" top="0.5" bottom="0.5" header="0.2" footer="0.2"/>
  <pageSetup orientation="landscape" paperSize="9" fitToHeight="0" fitToWidth="1"/>
  <headerFooter>
    <oddHeader/>
    <oddFooter>&amp;L&amp;8 &amp;A&amp;C&amp;8 &amp;P / &amp;N ページ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5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6" customWidth="1" min="2" max="2"/>
    <col width="24" customWidth="1" min="3" max="3"/>
    <col width="7" customWidth="1" min="4" max="4"/>
    <col width="13" customWidth="1" min="5" max="5"/>
    <col width="8" customWidth="1" min="6" max="6"/>
    <col width="20" customWidth="1" min="7" max="7"/>
    <col width="44" customWidth="1" min="8" max="8"/>
    <col width="24" customWidth="1" min="9" max="9"/>
    <col width="6" customWidth="1" min="10" max="10"/>
  </cols>
  <sheetData>
    <row r="1" ht="30" customHeight="1">
      <c r="A1" s="1" t="inlineStr">
        <is>
          <t>商品マスター（品目・標準単価）</t>
        </is>
      </c>
      <c r="B1" s="2" t="n"/>
      <c r="C1" s="2" t="n"/>
      <c r="D1" s="2" t="n"/>
      <c r="E1" s="2" t="n"/>
      <c r="F1" s="2" t="n"/>
      <c r="G1" s="2" t="n"/>
      <c r="H1" s="2" t="n"/>
      <c r="I1" s="89" t="inlineStr">
        <is>
          <t>← 01_入力へ</t>
        </is>
      </c>
    </row>
    <row r="2" ht="20" customHeight="1">
      <c r="A2" s="90" t="inlineStr">
        <is>
          <t>1行＝1品目。同じ品名でも仕様・単価が違えば別IDにします。0円の項目は無償扱いを「はい」に。</t>
        </is>
      </c>
    </row>
    <row r="3" ht="22" customHeight="1">
      <c r="A3" s="8" t="inlineStr">
        <is>
          <t>凡例</t>
        </is>
      </c>
      <c r="B3" s="91" t="inlineStr">
        <is>
          <t>入力</t>
        </is>
      </c>
      <c r="C3" s="92" t="inlineStr">
        <is>
          <t>自動計算</t>
        </is>
      </c>
      <c r="D3" s="93" t="inlineStr">
        <is>
          <t>注意・要確認</t>
        </is>
      </c>
      <c r="G3" s="45" t="inlineStr">
        <is>
          <t>次の商品ID候補</t>
        </is>
      </c>
      <c r="H3" s="94" t="str">
        <f>"I"&amp;TEXT(MAX(0,MAX(tblItems[ID番号]))+1,"000")</f>
        <v>I001</v>
      </c>
    </row>
    <row r="4" ht="6" customHeight="1"/>
    <row r="5" ht="36" customHeight="1">
      <c r="A5" s="95" t="inlineStr">
        <is>
          <t>商品ID</t>
        </is>
      </c>
      <c r="B5" s="95" t="inlineStr">
        <is>
          <t>品名</t>
        </is>
      </c>
      <c r="C5" s="95" t="inlineStr">
        <is>
          <t>仕様・型式</t>
        </is>
      </c>
      <c r="D5" s="95" t="inlineStr">
        <is>
          <t>単位</t>
        </is>
      </c>
      <c r="E5" s="95" t="inlineStr">
        <is>
          <t>標準単価（税抜）</t>
        </is>
      </c>
      <c r="F5" s="95" t="inlineStr">
        <is>
          <t>無償扱い</t>
        </is>
      </c>
      <c r="G5" s="95" t="inlineStr">
        <is>
          <t>補足</t>
        </is>
      </c>
      <c r="H5" s="96" t="inlineStr">
        <is>
          <t>選択表示</t>
        </is>
      </c>
      <c r="I5" s="96" t="inlineStr">
        <is>
          <t>入力チェック</t>
        </is>
      </c>
      <c r="J5" s="97" t="inlineStr">
        <is>
          <t>ID番号</t>
        </is>
      </c>
    </row>
    <row r="6">
      <c r="A6" s="98" t="n"/>
      <c r="B6" s="99" t="n"/>
      <c r="C6" s="99" t="n"/>
      <c r="D6" s="101" t="n"/>
      <c r="E6" s="105" t="n"/>
      <c r="F6" s="101" t="n"/>
      <c r="G6" s="99" t="n"/>
      <c r="H6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6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6" s="104" t="str">
        <f>IFERROR(VALUE(MID(tblItems[[#This Row],[商品ID]],2,20)),"")</f>
        <v/>
      </c>
    </row>
    <row r="7">
      <c r="A7" s="98" t="n"/>
      <c r="B7" s="99" t="n"/>
      <c r="C7" s="99" t="n"/>
      <c r="D7" s="101" t="n"/>
      <c r="E7" s="105" t="n"/>
      <c r="F7" s="101" t="n"/>
      <c r="G7" s="99" t="n"/>
      <c r="H7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7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7" s="104" t="str">
        <f>IFERROR(VALUE(MID(tblItems[[#This Row],[商品ID]],2,20)),"")</f>
        <v/>
      </c>
    </row>
    <row r="8">
      <c r="A8" s="98" t="n"/>
      <c r="B8" s="99" t="n"/>
      <c r="C8" s="99" t="n"/>
      <c r="D8" s="101" t="n"/>
      <c r="E8" s="105" t="n"/>
      <c r="F8" s="101" t="n"/>
      <c r="G8" s="99" t="n"/>
      <c r="H8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8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8" s="104" t="str">
        <f>IFERROR(VALUE(MID(tblItems[[#This Row],[商品ID]],2,20)),"")</f>
        <v/>
      </c>
    </row>
    <row r="9">
      <c r="A9" s="98" t="n"/>
      <c r="B9" s="99" t="n"/>
      <c r="C9" s="99" t="n"/>
      <c r="D9" s="101" t="n"/>
      <c r="E9" s="105" t="n"/>
      <c r="F9" s="101" t="n"/>
      <c r="G9" s="99" t="n"/>
      <c r="H9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9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9" s="104" t="str">
        <f>IFERROR(VALUE(MID(tblItems[[#This Row],[商品ID]],2,20)),"")</f>
        <v/>
      </c>
    </row>
    <row r="10">
      <c r="A10" s="98" t="n"/>
      <c r="B10" s="99" t="n"/>
      <c r="C10" s="99" t="n"/>
      <c r="D10" s="101" t="n"/>
      <c r="E10" s="105" t="n"/>
      <c r="F10" s="101" t="n"/>
      <c r="G10" s="99" t="n"/>
      <c r="H10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10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10" s="104" t="str">
        <f>IFERROR(VALUE(MID(tblItems[[#This Row],[商品ID]],2,20)),"")</f>
        <v/>
      </c>
    </row>
    <row r="11">
      <c r="A11" s="98" t="n"/>
      <c r="B11" s="99" t="n"/>
      <c r="C11" s="99" t="n"/>
      <c r="D11" s="101" t="n"/>
      <c r="E11" s="105" t="n"/>
      <c r="F11" s="101" t="n"/>
      <c r="G11" s="99" t="n"/>
      <c r="H11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11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11" s="104" t="str">
        <f>IFERROR(VALUE(MID(tblItems[[#This Row],[商品ID]],2,20)),"")</f>
        <v/>
      </c>
    </row>
    <row r="12">
      <c r="A12" s="98" t="n"/>
      <c r="B12" s="99" t="n"/>
      <c r="C12" s="99" t="n"/>
      <c r="D12" s="101" t="n"/>
      <c r="E12" s="105" t="n"/>
      <c r="F12" s="101" t="n"/>
      <c r="G12" s="99" t="n"/>
      <c r="H12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12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12" s="104" t="str">
        <f>IFERROR(VALUE(MID(tblItems[[#This Row],[商品ID]],2,20)),"")</f>
        <v/>
      </c>
    </row>
    <row r="13">
      <c r="A13" s="98" t="n"/>
      <c r="B13" s="99" t="n"/>
      <c r="C13" s="99" t="n"/>
      <c r="D13" s="101" t="n"/>
      <c r="E13" s="105" t="n"/>
      <c r="F13" s="101" t="n"/>
      <c r="G13" s="99" t="n"/>
      <c r="H13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13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13" s="104" t="str">
        <f>IFERROR(VALUE(MID(tblItems[[#This Row],[商品ID]],2,20)),"")</f>
        <v/>
      </c>
    </row>
    <row r="14">
      <c r="A14" s="98" t="n"/>
      <c r="B14" s="99" t="n"/>
      <c r="C14" s="99" t="n"/>
      <c r="D14" s="101" t="n"/>
      <c r="E14" s="105" t="n"/>
      <c r="F14" s="101" t="n"/>
      <c r="G14" s="99" t="n"/>
      <c r="H14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14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14" s="104" t="str">
        <f>IFERROR(VALUE(MID(tblItems[[#This Row],[商品ID]],2,20)),"")</f>
        <v/>
      </c>
    </row>
    <row r="15">
      <c r="A15" s="98" t="n"/>
      <c r="B15" s="99" t="n"/>
      <c r="C15" s="99" t="n"/>
      <c r="D15" s="101" t="n"/>
      <c r="E15" s="105" t="n"/>
      <c r="F15" s="101" t="n"/>
      <c r="G15" s="99" t="n"/>
      <c r="H15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15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15" s="104" t="str">
        <f>IFERROR(VALUE(MID(tblItems[[#This Row],[商品ID]],2,20)),"")</f>
        <v/>
      </c>
    </row>
    <row r="16">
      <c r="A16" s="98" t="n"/>
      <c r="B16" s="99" t="n"/>
      <c r="C16" s="99" t="n"/>
      <c r="D16" s="101" t="n"/>
      <c r="E16" s="105" t="n"/>
      <c r="F16" s="101" t="n"/>
      <c r="G16" s="99" t="n"/>
      <c r="H16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16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16" s="104" t="str">
        <f>IFERROR(VALUE(MID(tblItems[[#This Row],[商品ID]],2,20)),"")</f>
        <v/>
      </c>
    </row>
    <row r="17">
      <c r="A17" s="98" t="n"/>
      <c r="B17" s="99" t="n"/>
      <c r="C17" s="99" t="n"/>
      <c r="D17" s="101" t="n"/>
      <c r="E17" s="105" t="n"/>
      <c r="F17" s="101" t="n"/>
      <c r="G17" s="99" t="n"/>
      <c r="H17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17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17" s="104" t="str">
        <f>IFERROR(VALUE(MID(tblItems[[#This Row],[商品ID]],2,20)),"")</f>
        <v/>
      </c>
    </row>
    <row r="18">
      <c r="A18" s="98" t="n"/>
      <c r="B18" s="99" t="n"/>
      <c r="C18" s="99" t="n"/>
      <c r="D18" s="101" t="n"/>
      <c r="E18" s="105" t="n"/>
      <c r="F18" s="101" t="n"/>
      <c r="G18" s="99" t="n"/>
      <c r="H18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18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18" s="104" t="str">
        <f>IFERROR(VALUE(MID(tblItems[[#This Row],[商品ID]],2,20)),"")</f>
        <v/>
      </c>
    </row>
    <row r="19">
      <c r="A19" s="98" t="n"/>
      <c r="B19" s="99" t="n"/>
      <c r="C19" s="99" t="n"/>
      <c r="D19" s="101" t="n"/>
      <c r="E19" s="105" t="n"/>
      <c r="F19" s="101" t="n"/>
      <c r="G19" s="99" t="n"/>
      <c r="H19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19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19" s="104" t="str">
        <f>IFERROR(VALUE(MID(tblItems[[#This Row],[商品ID]],2,20)),"")</f>
        <v/>
      </c>
    </row>
    <row r="20">
      <c r="A20" s="98" t="n"/>
      <c r="B20" s="99" t="n"/>
      <c r="C20" s="99" t="n"/>
      <c r="D20" s="101" t="n"/>
      <c r="E20" s="105" t="n"/>
      <c r="F20" s="101" t="n"/>
      <c r="G20" s="99" t="n"/>
      <c r="H20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20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20" s="104" t="str">
        <f>IFERROR(VALUE(MID(tblItems[[#This Row],[商品ID]],2,20)),"")</f>
        <v/>
      </c>
    </row>
    <row r="21">
      <c r="A21" s="98" t="n"/>
      <c r="B21" s="99" t="n"/>
      <c r="C21" s="99" t="n"/>
      <c r="D21" s="101" t="n"/>
      <c r="E21" s="105" t="n"/>
      <c r="F21" s="101" t="n"/>
      <c r="G21" s="99" t="n"/>
      <c r="H21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21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21" s="104" t="str">
        <f>IFERROR(VALUE(MID(tblItems[[#This Row],[商品ID]],2,20)),"")</f>
        <v/>
      </c>
    </row>
    <row r="22">
      <c r="A22" s="98" t="n"/>
      <c r="B22" s="99" t="n"/>
      <c r="C22" s="99" t="n"/>
      <c r="D22" s="101" t="n"/>
      <c r="E22" s="105" t="n"/>
      <c r="F22" s="101" t="n"/>
      <c r="G22" s="99" t="n"/>
      <c r="H22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22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22" s="104" t="str">
        <f>IFERROR(VALUE(MID(tblItems[[#This Row],[商品ID]],2,20)),"")</f>
        <v/>
      </c>
    </row>
    <row r="23">
      <c r="A23" s="98" t="n"/>
      <c r="B23" s="99" t="n"/>
      <c r="C23" s="99" t="n"/>
      <c r="D23" s="101" t="n"/>
      <c r="E23" s="105" t="n"/>
      <c r="F23" s="101" t="n"/>
      <c r="G23" s="99" t="n"/>
      <c r="H23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23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23" s="104" t="str">
        <f>IFERROR(VALUE(MID(tblItems[[#This Row],[商品ID]],2,20)),"")</f>
        <v/>
      </c>
    </row>
    <row r="24">
      <c r="A24" s="98" t="n"/>
      <c r="B24" s="99" t="n"/>
      <c r="C24" s="99" t="n"/>
      <c r="D24" s="101" t="n"/>
      <c r="E24" s="105" t="n"/>
      <c r="F24" s="101" t="n"/>
      <c r="G24" s="99" t="n"/>
      <c r="H24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24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24" s="104" t="str">
        <f>IFERROR(VALUE(MID(tblItems[[#This Row],[商品ID]],2,20)),"")</f>
        <v/>
      </c>
    </row>
    <row r="25">
      <c r="A25" s="98" t="n"/>
      <c r="B25" s="99" t="n"/>
      <c r="C25" s="99" t="n"/>
      <c r="D25" s="101" t="n"/>
      <c r="E25" s="105" t="n"/>
      <c r="F25" s="101" t="n"/>
      <c r="G25" s="99" t="n"/>
      <c r="H25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25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25" s="104" t="str">
        <f>IFERROR(VALUE(MID(tblItems[[#This Row],[商品ID]],2,20)),"")</f>
        <v/>
      </c>
    </row>
    <row r="26">
      <c r="A26" s="98" t="n"/>
      <c r="B26" s="99" t="n"/>
      <c r="C26" s="99" t="n"/>
      <c r="D26" s="101" t="n"/>
      <c r="E26" s="105" t="n"/>
      <c r="F26" s="101" t="n"/>
      <c r="G26" s="99" t="n"/>
      <c r="H26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26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26" s="104" t="str">
        <f>IFERROR(VALUE(MID(tblItems[[#This Row],[商品ID]],2,20)),"")</f>
        <v/>
      </c>
    </row>
    <row r="27">
      <c r="A27" s="98" t="n"/>
      <c r="B27" s="99" t="n"/>
      <c r="C27" s="99" t="n"/>
      <c r="D27" s="101" t="n"/>
      <c r="E27" s="105" t="n"/>
      <c r="F27" s="101" t="n"/>
      <c r="G27" s="99" t="n"/>
      <c r="H27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27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27" s="104" t="str">
        <f>IFERROR(VALUE(MID(tblItems[[#This Row],[商品ID]],2,20)),"")</f>
        <v/>
      </c>
    </row>
    <row r="28">
      <c r="A28" s="98" t="n"/>
      <c r="B28" s="99" t="n"/>
      <c r="C28" s="99" t="n"/>
      <c r="D28" s="101" t="n"/>
      <c r="E28" s="105" t="n"/>
      <c r="F28" s="101" t="n"/>
      <c r="G28" s="99" t="n"/>
      <c r="H28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28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28" s="104" t="str">
        <f>IFERROR(VALUE(MID(tblItems[[#This Row],[商品ID]],2,20)),"")</f>
        <v/>
      </c>
    </row>
    <row r="29">
      <c r="A29" s="98" t="n"/>
      <c r="B29" s="99" t="n"/>
      <c r="C29" s="99" t="n"/>
      <c r="D29" s="101" t="n"/>
      <c r="E29" s="105" t="n"/>
      <c r="F29" s="101" t="n"/>
      <c r="G29" s="99" t="n"/>
      <c r="H29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29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29" s="104" t="str">
        <f>IFERROR(VALUE(MID(tblItems[[#This Row],[商品ID]],2,20)),"")</f>
        <v/>
      </c>
    </row>
    <row r="30">
      <c r="A30" s="98" t="n"/>
      <c r="B30" s="99" t="n"/>
      <c r="C30" s="99" t="n"/>
      <c r="D30" s="101" t="n"/>
      <c r="E30" s="105" t="n"/>
      <c r="F30" s="101" t="n"/>
      <c r="G30" s="99" t="n"/>
      <c r="H30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30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30" s="104" t="str">
        <f>IFERROR(VALUE(MID(tblItems[[#This Row],[商品ID]],2,20)),"")</f>
        <v/>
      </c>
    </row>
    <row r="31">
      <c r="A31" s="98" t="n"/>
      <c r="B31" s="99" t="n"/>
      <c r="C31" s="99" t="n"/>
      <c r="D31" s="101" t="n"/>
      <c r="E31" s="105" t="n"/>
      <c r="F31" s="101" t="n"/>
      <c r="G31" s="99" t="n"/>
      <c r="H31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31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31" s="104" t="str">
        <f>IFERROR(VALUE(MID(tblItems[[#This Row],[商品ID]],2,20)),"")</f>
        <v/>
      </c>
    </row>
    <row r="32">
      <c r="A32" s="98" t="n"/>
      <c r="B32" s="99" t="n"/>
      <c r="C32" s="99" t="n"/>
      <c r="D32" s="101" t="n"/>
      <c r="E32" s="105" t="n"/>
      <c r="F32" s="101" t="n"/>
      <c r="G32" s="99" t="n"/>
      <c r="H32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32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32" s="104" t="str">
        <f>IFERROR(VALUE(MID(tblItems[[#This Row],[商品ID]],2,20)),"")</f>
        <v/>
      </c>
    </row>
    <row r="33">
      <c r="A33" s="98" t="n"/>
      <c r="B33" s="99" t="n"/>
      <c r="C33" s="99" t="n"/>
      <c r="D33" s="101" t="n"/>
      <c r="E33" s="105" t="n"/>
      <c r="F33" s="101" t="n"/>
      <c r="G33" s="99" t="n"/>
      <c r="H33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33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33" s="104" t="str">
        <f>IFERROR(VALUE(MID(tblItems[[#This Row],[商品ID]],2,20)),"")</f>
        <v/>
      </c>
    </row>
    <row r="34">
      <c r="A34" s="98" t="n"/>
      <c r="B34" s="99" t="n"/>
      <c r="C34" s="99" t="n"/>
      <c r="D34" s="101" t="n"/>
      <c r="E34" s="105" t="n"/>
      <c r="F34" s="101" t="n"/>
      <c r="G34" s="99" t="n"/>
      <c r="H34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34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34" s="104" t="str">
        <f>IFERROR(VALUE(MID(tblItems[[#This Row],[商品ID]],2,20)),"")</f>
        <v/>
      </c>
    </row>
    <row r="35">
      <c r="A35" s="98" t="n"/>
      <c r="B35" s="99" t="n"/>
      <c r="C35" s="99" t="n"/>
      <c r="D35" s="101" t="n"/>
      <c r="E35" s="105" t="n"/>
      <c r="F35" s="101" t="n"/>
      <c r="G35" s="99" t="n"/>
      <c r="H35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35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35" s="104" t="str">
        <f>IFERROR(VALUE(MID(tblItems[[#This Row],[商品ID]],2,20)),"")</f>
        <v/>
      </c>
    </row>
    <row r="36">
      <c r="A36" s="98" t="n"/>
      <c r="B36" s="99" t="n"/>
      <c r="C36" s="99" t="n"/>
      <c r="D36" s="101" t="n"/>
      <c r="E36" s="105" t="n"/>
      <c r="F36" s="101" t="n"/>
      <c r="G36" s="99" t="n"/>
      <c r="H36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36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36" s="104" t="str">
        <f>IFERROR(VALUE(MID(tblItems[[#This Row],[商品ID]],2,20)),"")</f>
        <v/>
      </c>
    </row>
    <row r="37">
      <c r="A37" s="98" t="n"/>
      <c r="B37" s="99" t="n"/>
      <c r="C37" s="99" t="n"/>
      <c r="D37" s="101" t="n"/>
      <c r="E37" s="105" t="n"/>
      <c r="F37" s="101" t="n"/>
      <c r="G37" s="99" t="n"/>
      <c r="H37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37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37" s="104" t="str">
        <f>IFERROR(VALUE(MID(tblItems[[#This Row],[商品ID]],2,20)),"")</f>
        <v/>
      </c>
    </row>
    <row r="38">
      <c r="A38" s="98" t="n"/>
      <c r="B38" s="99" t="n"/>
      <c r="C38" s="99" t="n"/>
      <c r="D38" s="101" t="n"/>
      <c r="E38" s="105" t="n"/>
      <c r="F38" s="101" t="n"/>
      <c r="G38" s="99" t="n"/>
      <c r="H38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38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38" s="104" t="str">
        <f>IFERROR(VALUE(MID(tblItems[[#This Row],[商品ID]],2,20)),"")</f>
        <v/>
      </c>
    </row>
    <row r="39">
      <c r="A39" s="98" t="n"/>
      <c r="B39" s="99" t="n"/>
      <c r="C39" s="99" t="n"/>
      <c r="D39" s="101" t="n"/>
      <c r="E39" s="105" t="n"/>
      <c r="F39" s="101" t="n"/>
      <c r="G39" s="99" t="n"/>
      <c r="H39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39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39" s="104" t="str">
        <f>IFERROR(VALUE(MID(tblItems[[#This Row],[商品ID]],2,20)),"")</f>
        <v/>
      </c>
    </row>
    <row r="40">
      <c r="A40" s="98" t="n"/>
      <c r="B40" s="99" t="n"/>
      <c r="C40" s="99" t="n"/>
      <c r="D40" s="101" t="n"/>
      <c r="E40" s="105" t="n"/>
      <c r="F40" s="101" t="n"/>
      <c r="G40" s="99" t="n"/>
      <c r="H40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40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40" s="104" t="str">
        <f>IFERROR(VALUE(MID(tblItems[[#This Row],[商品ID]],2,20)),"")</f>
        <v/>
      </c>
    </row>
    <row r="41">
      <c r="A41" s="98" t="n"/>
      <c r="B41" s="99" t="n"/>
      <c r="C41" s="99" t="n"/>
      <c r="D41" s="101" t="n"/>
      <c r="E41" s="105" t="n"/>
      <c r="F41" s="101" t="n"/>
      <c r="G41" s="99" t="n"/>
      <c r="H41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41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41" s="104" t="str">
        <f>IFERROR(VALUE(MID(tblItems[[#This Row],[商品ID]],2,20)),"")</f>
        <v/>
      </c>
    </row>
    <row r="42">
      <c r="A42" s="98" t="n"/>
      <c r="B42" s="99" t="n"/>
      <c r="C42" s="99" t="n"/>
      <c r="D42" s="101" t="n"/>
      <c r="E42" s="105" t="n"/>
      <c r="F42" s="101" t="n"/>
      <c r="G42" s="99" t="n"/>
      <c r="H42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42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42" s="104" t="str">
        <f>IFERROR(VALUE(MID(tblItems[[#This Row],[商品ID]],2,20)),"")</f>
        <v/>
      </c>
    </row>
    <row r="43">
      <c r="A43" s="98" t="n"/>
      <c r="B43" s="99" t="n"/>
      <c r="C43" s="99" t="n"/>
      <c r="D43" s="101" t="n"/>
      <c r="E43" s="105" t="n"/>
      <c r="F43" s="101" t="n"/>
      <c r="G43" s="99" t="n"/>
      <c r="H43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43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43" s="104" t="str">
        <f>IFERROR(VALUE(MID(tblItems[[#This Row],[商品ID]],2,20)),"")</f>
        <v/>
      </c>
    </row>
    <row r="44">
      <c r="A44" s="98" t="n"/>
      <c r="B44" s="99" t="n"/>
      <c r="C44" s="99" t="n"/>
      <c r="D44" s="101" t="n"/>
      <c r="E44" s="105" t="n"/>
      <c r="F44" s="101" t="n"/>
      <c r="G44" s="99" t="n"/>
      <c r="H44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44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44" s="104" t="str">
        <f>IFERROR(VALUE(MID(tblItems[[#This Row],[商品ID]],2,20)),"")</f>
        <v/>
      </c>
    </row>
    <row r="45">
      <c r="A45" s="98" t="n"/>
      <c r="B45" s="99" t="n"/>
      <c r="C45" s="99" t="n"/>
      <c r="D45" s="101" t="n"/>
      <c r="E45" s="105" t="n"/>
      <c r="F45" s="101" t="n"/>
      <c r="G45" s="99" t="n"/>
      <c r="H45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45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45" s="104" t="str">
        <f>IFERROR(VALUE(MID(tblItems[[#This Row],[商品ID]],2,20)),"")</f>
        <v/>
      </c>
    </row>
    <row r="46">
      <c r="A46" s="98" t="n"/>
      <c r="B46" s="99" t="n"/>
      <c r="C46" s="99" t="n"/>
      <c r="D46" s="101" t="n"/>
      <c r="E46" s="105" t="n"/>
      <c r="F46" s="101" t="n"/>
      <c r="G46" s="99" t="n"/>
      <c r="H46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46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46" s="104" t="str">
        <f>IFERROR(VALUE(MID(tblItems[[#This Row],[商品ID]],2,20)),"")</f>
        <v/>
      </c>
    </row>
    <row r="47">
      <c r="A47" s="98" t="n"/>
      <c r="B47" s="99" t="n"/>
      <c r="C47" s="99" t="n"/>
      <c r="D47" s="101" t="n"/>
      <c r="E47" s="105" t="n"/>
      <c r="F47" s="101" t="n"/>
      <c r="G47" s="99" t="n"/>
      <c r="H47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47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47" s="104" t="str">
        <f>IFERROR(VALUE(MID(tblItems[[#This Row],[商品ID]],2,20)),"")</f>
        <v/>
      </c>
    </row>
    <row r="48">
      <c r="A48" s="98" t="n"/>
      <c r="B48" s="99" t="n"/>
      <c r="C48" s="99" t="n"/>
      <c r="D48" s="101" t="n"/>
      <c r="E48" s="105" t="n"/>
      <c r="F48" s="101" t="n"/>
      <c r="G48" s="99" t="n"/>
      <c r="H48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48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48" s="104" t="str">
        <f>IFERROR(VALUE(MID(tblItems[[#This Row],[商品ID]],2,20)),"")</f>
        <v/>
      </c>
    </row>
    <row r="49">
      <c r="A49" s="98" t="n"/>
      <c r="B49" s="99" t="n"/>
      <c r="C49" s="99" t="n"/>
      <c r="D49" s="101" t="n"/>
      <c r="E49" s="105" t="n"/>
      <c r="F49" s="101" t="n"/>
      <c r="G49" s="99" t="n"/>
      <c r="H49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49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49" s="104" t="str">
        <f>IFERROR(VALUE(MID(tblItems[[#This Row],[商品ID]],2,20)),"")</f>
        <v/>
      </c>
    </row>
    <row r="50">
      <c r="A50" s="98" t="n"/>
      <c r="B50" s="99" t="n"/>
      <c r="C50" s="99" t="n"/>
      <c r="D50" s="101" t="n"/>
      <c r="E50" s="105" t="n"/>
      <c r="F50" s="101" t="n"/>
      <c r="G50" s="99" t="n"/>
      <c r="H50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50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50" s="104" t="str">
        <f>IFERROR(VALUE(MID(tblItems[[#This Row],[商品ID]],2,20)),"")</f>
        <v/>
      </c>
    </row>
    <row r="51">
      <c r="A51" s="98" t="n"/>
      <c r="B51" s="99" t="n"/>
      <c r="C51" s="99" t="n"/>
      <c r="D51" s="101" t="n"/>
      <c r="E51" s="105" t="n"/>
      <c r="F51" s="101" t="n"/>
      <c r="G51" s="99" t="n"/>
      <c r="H51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51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51" s="104" t="str">
        <f>IFERROR(VALUE(MID(tblItems[[#This Row],[商品ID]],2,20)),"")</f>
        <v/>
      </c>
    </row>
    <row r="52">
      <c r="A52" s="98" t="n"/>
      <c r="B52" s="99" t="n"/>
      <c r="C52" s="99" t="n"/>
      <c r="D52" s="101" t="n"/>
      <c r="E52" s="105" t="n"/>
      <c r="F52" s="101" t="n"/>
      <c r="G52" s="99" t="n"/>
      <c r="H52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52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52" s="104" t="str">
        <f>IFERROR(VALUE(MID(tblItems[[#This Row],[商品ID]],2,20)),"")</f>
        <v/>
      </c>
    </row>
    <row r="53">
      <c r="A53" s="98" t="n"/>
      <c r="B53" s="99" t="n"/>
      <c r="C53" s="99" t="n"/>
      <c r="D53" s="101" t="n"/>
      <c r="E53" s="105" t="n"/>
      <c r="F53" s="101" t="n"/>
      <c r="G53" s="99" t="n"/>
      <c r="H53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53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53" s="104" t="str">
        <f>IFERROR(VALUE(MID(tblItems[[#This Row],[商品ID]],2,20)),"")</f>
        <v/>
      </c>
    </row>
    <row r="54">
      <c r="A54" s="98" t="n"/>
      <c r="B54" s="99" t="n"/>
      <c r="C54" s="99" t="n"/>
      <c r="D54" s="101" t="n"/>
      <c r="E54" s="105" t="n"/>
      <c r="F54" s="101" t="n"/>
      <c r="G54" s="99" t="n"/>
      <c r="H54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/>
      </c>
      <c r="I54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54" s="104" t="str">
        <f>IFERROR(VALUE(MID(tblItems[[#This Row],[商品ID]],2,20)),"")</f>
        <v/>
      </c>
    </row>
  </sheetData>
  <conditionalFormatting sqref="I6:I1000">
    <cfRule type="expression" priority="1" dxfId="3" stopIfTrue="1">
      <formula>I6&lt;&gt;""</formula>
    </cfRule>
  </conditionalFormatting>
  <dataValidations count="3">
    <dataValidation sqref="A6:A1000" showDropDown="0" showInputMessage="0" showErrorMessage="1" allowBlank="1" errorTitle="IDの重複" error="同じIDが既にあります。IDは重複させず、上の「次のID候補」を使ってください。" type="custom" errorStyle="warning">
      <formula1>COUNTIF($A$6:$A$1000,A6)&lt;=1</formula1>
    </dataValidation>
    <dataValidation sqref="D6:D1000" showDropDown="0" showInputMessage="0" showErrorMessage="1" allowBlank="1" errorTitle="候補から選択" error="候補一覧にない値です。候補から選ぶか、設定シートの候補一覧に追加してください。" type="list" errorStyle="warning">
      <formula1>=dv_Unit</formula1>
    </dataValidation>
    <dataValidation sqref="F6:F1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"はい"</formula1>
    </dataValidation>
  </dataValidations>
  <hyperlinks>
    <hyperlink ref="I1" location="'01_入力'!A1" display="← 01_入力へ"/>
  </hyperlinks>
  <printOptions horizontalCentered="1"/>
  <pageMargins left="0.4" right="0.4" top="0.5" bottom="0.5" header="0.2" footer="0.2"/>
  <pageSetup orientation="landscape" paperSize="9" fitToHeight="0" fitToWidth="1"/>
  <headerFooter>
    <oddHeader/>
    <oddFooter>&amp;L&amp;8 &amp;A&amp;C&amp;8 &amp;P / &amp;N ページ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8A94A6"/>
    <outlinePr summaryBelow="1" summaryRight="1"/>
    <pageSetUpPr fitToPage="1"/>
  </sheetPr>
  <dimension ref="A1:L10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34" customWidth="1" min="3" max="3"/>
    <col width="40" customWidth="1" min="4" max="4"/>
    <col width="2" customWidth="1" min="5" max="5"/>
    <col width="24" customWidth="1" min="6" max="6"/>
    <col width="2" customWidth="1" min="7" max="7"/>
    <col width="10" customWidth="1" min="8" max="8"/>
    <col width="2" customWidth="1" min="9" max="9"/>
    <col width="46" customWidth="1" min="10" max="10"/>
    <col width="2" customWidth="1" min="11" max="11"/>
    <col width="60" customWidth="1" min="12" max="12"/>
  </cols>
  <sheetData>
    <row r="1" ht="30" customHeight="1">
      <c r="A1" s="1" t="inlineStr">
        <is>
          <t>設定：発行元・税率・端数処理・候補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89" t="inlineStr">
        <is>
          <t>← 01_入力へ</t>
        </is>
      </c>
    </row>
    <row r="2" ht="20" customHeight="1">
      <c r="A2" s="90" t="inlineStr">
        <is>
          <t>白い入力欄だけを変更します。金額の計算方法はここで決め、見積書の下にも表示されます。</t>
        </is>
      </c>
    </row>
    <row r="4" ht="32" customHeight="1">
      <c r="B4" s="16" t="inlineStr">
        <is>
          <t>発行元（見積書を出す会社）</t>
        </is>
      </c>
      <c r="F4" s="26" t="inlineStr">
        <is>
          <t>支払条件の候補</t>
        </is>
      </c>
      <c r="H4" s="26" t="inlineStr">
        <is>
          <t>単位の候補</t>
        </is>
      </c>
      <c r="J4" s="27" t="inlineStr">
        <is>
          <t>顧客の選択候補（自動）</t>
        </is>
      </c>
      <c r="L4" s="27" t="inlineStr">
        <is>
          <t>商品の選択候補（自動）</t>
        </is>
      </c>
    </row>
    <row r="5" ht="26" customHeight="1">
      <c r="B5" s="106" t="inlineStr">
        <is>
          <t>会社名</t>
        </is>
      </c>
      <c r="C5" s="107" t="n"/>
      <c r="D5" s="108" t="inlineStr">
        <is>
          <t>見積書の右上に表示。テンプレート提供元ではなく、見積を出す自社の名称を入力します。</t>
        </is>
      </c>
      <c r="F5" s="109" t="inlineStr">
        <is>
          <t>月末締め翌月末払い（銀行振込）</t>
        </is>
      </c>
      <c r="H5" s="109" t="inlineStr">
        <is>
          <t>式</t>
        </is>
      </c>
      <c r="J5" s="110" t="str">
        <f>IFERROR(INDEX(tblQCustomers[選択表示],1)&amp;"","")</f>
        <v/>
      </c>
      <c r="L5" s="110" t="inlineStr">
        <is>
          <t>手入力（マスター外）</t>
        </is>
      </c>
    </row>
    <row r="6" ht="26" customHeight="1">
      <c r="B6" s="106" t="inlineStr">
        <is>
          <t>郵便番号</t>
        </is>
      </c>
      <c r="C6" s="111" t="n"/>
      <c r="F6" s="109" t="inlineStr">
        <is>
          <t>月末締め翌々月末払い（銀行振込）</t>
        </is>
      </c>
      <c r="H6" s="109" t="inlineStr">
        <is>
          <t>台</t>
        </is>
      </c>
      <c r="J6" s="110" t="str">
        <f>IFERROR(INDEX(tblQCustomers[選択表示],2)&amp;"","")</f>
        <v/>
      </c>
      <c r="L6" s="110" t="str">
        <f>IFERROR(INDEX(tblItems[選択表示],1)&amp;"","")</f>
        <v/>
      </c>
    </row>
    <row r="7" ht="26" customHeight="1">
      <c r="B7" s="106" t="inlineStr">
        <is>
          <t>住所1</t>
        </is>
      </c>
      <c r="C7" s="111" t="n"/>
      <c r="F7" s="109" t="inlineStr">
        <is>
          <t>納品後30日以内（銀行振込）</t>
        </is>
      </c>
      <c r="H7" s="109" t="inlineStr">
        <is>
          <t>個</t>
        </is>
      </c>
      <c r="J7" s="110" t="str">
        <f>IFERROR(INDEX(tblQCustomers[選択表示],3)&amp;"","")</f>
        <v/>
      </c>
      <c r="L7" s="110" t="str">
        <f>IFERROR(INDEX(tblItems[選択表示],2)&amp;"","")</f>
        <v/>
      </c>
    </row>
    <row r="8" ht="26" customHeight="1">
      <c r="B8" s="106" t="inlineStr">
        <is>
          <t>住所2（建物名等）</t>
        </is>
      </c>
      <c r="C8" s="111" t="n"/>
      <c r="F8" s="109" t="inlineStr">
        <is>
          <t>前払い（銀行振込）</t>
        </is>
      </c>
      <c r="H8" s="109" t="inlineStr">
        <is>
          <t>本</t>
        </is>
      </c>
      <c r="J8" s="110" t="str">
        <f>IFERROR(INDEX(tblQCustomers[選択表示],4)&amp;"","")</f>
        <v/>
      </c>
      <c r="L8" s="110" t="str">
        <f>IFERROR(INDEX(tblItems[選択表示],3)&amp;"","")</f>
        <v/>
      </c>
    </row>
    <row r="9" ht="26" customHeight="1">
      <c r="B9" s="106" t="inlineStr">
        <is>
          <t>電話</t>
        </is>
      </c>
      <c r="C9" s="111" t="n"/>
      <c r="F9" s="109" t="n"/>
      <c r="H9" s="109" t="inlineStr">
        <is>
          <t>m</t>
        </is>
      </c>
      <c r="J9" s="110" t="str">
        <f>IFERROR(INDEX(tblQCustomers[選択表示],5)&amp;"","")</f>
        <v/>
      </c>
      <c r="L9" s="110" t="str">
        <f>IFERROR(INDEX(tblItems[選択表示],4)&amp;"","")</f>
        <v/>
      </c>
    </row>
    <row r="10" ht="26" customHeight="1">
      <c r="B10" s="106" t="inlineStr">
        <is>
          <t>メール</t>
        </is>
      </c>
      <c r="C10" s="111" t="n"/>
      <c r="F10" s="109" t="n"/>
      <c r="H10" s="109" t="inlineStr">
        <is>
          <t>時間</t>
        </is>
      </c>
      <c r="J10" s="110" t="str">
        <f>IFERROR(INDEX(tblQCustomers[選択表示],6)&amp;"","")</f>
        <v/>
      </c>
      <c r="L10" s="110" t="str">
        <f>IFERROR(INDEX(tblItems[選択表示],5)&amp;"","")</f>
        <v/>
      </c>
    </row>
    <row r="11" ht="26" customHeight="1">
      <c r="B11" s="106" t="inlineStr">
        <is>
          <t>担当者</t>
        </is>
      </c>
      <c r="C11" s="111" t="n"/>
      <c r="F11" s="109" t="n"/>
      <c r="H11" s="109" t="inlineStr">
        <is>
          <t>人日</t>
        </is>
      </c>
      <c r="J11" s="110" t="str">
        <f>IFERROR(INDEX(tblQCustomers[選択表示],7)&amp;"","")</f>
        <v/>
      </c>
      <c r="L11" s="110" t="str">
        <f>IFERROR(INDEX(tblItems[選択表示],6)&amp;"","")</f>
        <v/>
      </c>
    </row>
    <row r="12" ht="26" customHeight="1">
      <c r="B12" s="106" t="inlineStr">
        <is>
          <t>登録番号（適格請求書発行事業者）</t>
        </is>
      </c>
      <c r="C12" s="111" t="n"/>
      <c r="D12" s="108" t="inlineStr">
        <is>
          <t>該当する場合のみ自社の番号を入力します。サンプルでは記載していません。</t>
        </is>
      </c>
      <c r="F12" s="109" t="n"/>
      <c r="H12" s="109" t="inlineStr">
        <is>
          <t>回</t>
        </is>
      </c>
      <c r="J12" s="110" t="str">
        <f>IFERROR(INDEX(tblQCustomers[選択表示],8)&amp;"","")</f>
        <v/>
      </c>
      <c r="L12" s="110" t="str">
        <f>IFERROR(INDEX(tblItems[選択表示],7)&amp;"","")</f>
        <v/>
      </c>
    </row>
    <row r="13">
      <c r="F13" s="109" t="n"/>
      <c r="H13" s="109" t="inlineStr">
        <is>
          <t>枚</t>
        </is>
      </c>
      <c r="J13" s="110" t="str">
        <f>IFERROR(INDEX(tblQCustomers[選択表示],9)&amp;"","")</f>
        <v/>
      </c>
      <c r="L13" s="110" t="str">
        <f>IFERROR(INDEX(tblItems[選択表示],8)&amp;"","")</f>
        <v/>
      </c>
    </row>
    <row r="14" ht="22" customHeight="1">
      <c r="B14" s="16" t="inlineStr">
        <is>
          <t>計算方法</t>
        </is>
      </c>
      <c r="F14" s="109" t="n"/>
      <c r="H14" s="109" t="inlineStr">
        <is>
          <t>月</t>
        </is>
      </c>
      <c r="J14" s="110" t="str">
        <f>IFERROR(INDEX(tblQCustomers[選択表示],10)&amp;"","")</f>
        <v/>
      </c>
      <c r="L14" s="110" t="str">
        <f>IFERROR(INDEX(tblItems[選択表示],9)&amp;"","")</f>
        <v/>
      </c>
    </row>
    <row r="15" ht="26" customHeight="1">
      <c r="B15" s="106" t="inlineStr">
        <is>
          <t>消費税率</t>
        </is>
      </c>
      <c r="C15" s="112" t="n">
        <v>0.1</v>
      </c>
      <c r="D15" s="108" t="inlineStr">
        <is>
          <t>サンプルの 10% は計算例です。取引ごとの適用税率は各社で確認してください。1見積につき1税率で計算します。</t>
        </is>
      </c>
      <c r="H15" s="109" t="n"/>
      <c r="J15" s="110" t="str">
        <f>IFERROR(INDEX(tblQCustomers[選択表示],11)&amp;"","")</f>
        <v/>
      </c>
      <c r="L15" s="110" t="str">
        <f>IFERROR(INDEX(tblItems[選択表示],10)&amp;"","")</f>
        <v/>
      </c>
    </row>
    <row r="16" ht="26" customHeight="1">
      <c r="B16" s="106" t="inlineStr">
        <is>
          <t>消費税の端数処理</t>
        </is>
      </c>
      <c r="C16" s="107" t="inlineStr">
        <is>
          <t>切り捨て</t>
        </is>
      </c>
      <c r="D16" s="108" t="inlineStr">
        <is>
          <t>小計×税率 の円未満の扱い（切り捨て／四捨五入／切り上げ）</t>
        </is>
      </c>
      <c r="H16" s="109" t="n"/>
      <c r="J16" s="110" t="str">
        <f>IFERROR(INDEX(tblQCustomers[選択表示],12)&amp;"","")</f>
        <v/>
      </c>
      <c r="L16" s="110" t="str">
        <f>IFERROR(INDEX(tblItems[選択表示],11)&amp;"","")</f>
        <v/>
      </c>
    </row>
    <row r="17" ht="26" customHeight="1">
      <c r="B17" s="106" t="inlineStr">
        <is>
          <t>明細金額の円未満</t>
        </is>
      </c>
      <c r="C17" s="107" t="inlineStr">
        <is>
          <t>切り捨て</t>
        </is>
      </c>
      <c r="D17" s="108" t="inlineStr">
        <is>
          <t>数量×単価 の円未満の扱い（切り捨て／四捨五入／切り上げ）</t>
        </is>
      </c>
      <c r="H17" s="109" t="n"/>
      <c r="J17" s="110" t="str">
        <f>IFERROR(INDEX(tblQCustomers[選択表示],13)&amp;"","")</f>
        <v/>
      </c>
      <c r="L17" s="110" t="str">
        <f>IFERROR(INDEX(tblItems[選択表示],12)&amp;"","")</f>
        <v/>
      </c>
    </row>
    <row r="18" ht="26" customHeight="1">
      <c r="B18" s="106" t="inlineStr">
        <is>
          <t>有効期限の既定（日数）</t>
        </is>
      </c>
      <c r="C18" s="113" t="n">
        <v>30</v>
      </c>
      <c r="D18" s="108" t="inlineStr">
        <is>
          <t>01_入力の有効期限が空欄なら 発行日＋この日数</t>
        </is>
      </c>
      <c r="H18" s="109" t="n"/>
      <c r="J18" s="110" t="str">
        <f>IFERROR(INDEX(tblQCustomers[選択表示],14)&amp;"","")</f>
        <v/>
      </c>
      <c r="L18" s="110" t="str">
        <f>IFERROR(INDEX(tblItems[選択表示],13)&amp;"","")</f>
        <v/>
      </c>
    </row>
    <row r="19" ht="26" customHeight="1">
      <c r="B19" s="106" t="inlineStr">
        <is>
          <t>既定の支払条件</t>
        </is>
      </c>
      <c r="C19" s="107" t="n"/>
      <c r="D19" s="108" t="inlineStr">
        <is>
          <t>01_入力の支払条件が空欄のとき使います。</t>
        </is>
      </c>
      <c r="H19" s="109" t="n"/>
      <c r="J19" s="110" t="str">
        <f>IFERROR(INDEX(tblQCustomers[選択表示],15)&amp;"","")</f>
        <v/>
      </c>
      <c r="L19" s="110" t="str">
        <f>IFERROR(INDEX(tblItems[選択表示],14)&amp;"","")</f>
        <v/>
      </c>
    </row>
    <row r="20" ht="26" customHeight="1">
      <c r="B20" s="106" t="inlineStr">
        <is>
          <t>帳票の見本表示</t>
        </is>
      </c>
      <c r="C20" s="107" t="n"/>
      <c r="D20" s="108" t="inlineStr">
        <is>
          <t>空欄なら何も表示しません（実運用では空欄）。</t>
        </is>
      </c>
      <c r="H20" s="109" t="n"/>
      <c r="J20" s="110" t="str">
        <f>IFERROR(INDEX(tblQCustomers[選択表示],16)&amp;"","")</f>
        <v/>
      </c>
      <c r="L20" s="110" t="str">
        <f>IFERROR(INDEX(tblItems[選択表示],15)&amp;"","")</f>
        <v/>
      </c>
    </row>
    <row r="21" ht="26" customHeight="1">
      <c r="B21" s="106" t="inlineStr">
        <is>
          <t>見積書の題名</t>
        </is>
      </c>
      <c r="C21" s="107" t="inlineStr">
        <is>
          <t>御見積書</t>
        </is>
      </c>
      <c r="H21" s="109" t="n"/>
      <c r="J21" s="110" t="str">
        <f>IFERROR(INDEX(tblQCustomers[選択表示],17)&amp;"","")</f>
        <v/>
      </c>
      <c r="L21" s="110" t="str">
        <f>IFERROR(INDEX(tblItems[選択表示],16)&amp;"","")</f>
        <v/>
      </c>
    </row>
    <row r="22">
      <c r="H22" s="109" t="n"/>
      <c r="J22" s="110" t="str">
        <f>IFERROR(INDEX(tblQCustomers[選択表示],18)&amp;"","")</f>
        <v/>
      </c>
      <c r="L22" s="110" t="str">
        <f>IFERROR(INDEX(tblItems[選択表示],17)&amp;"","")</f>
        <v/>
      </c>
    </row>
    <row r="23" ht="22" customHeight="1">
      <c r="B23" s="16" t="inlineStr">
        <is>
          <t>対応していないこと（初期版）</t>
        </is>
      </c>
      <c r="H23" s="109" t="n"/>
      <c r="J23" s="110" t="str">
        <f>IFERROR(INDEX(tblQCustomers[選択表示],19)&amp;"","")</f>
        <v/>
      </c>
      <c r="L23" s="110" t="str">
        <f>IFERROR(INDEX(tblItems[選択表示],18)&amp;"","")</f>
        <v/>
      </c>
    </row>
    <row r="24">
      <c r="B24" s="114" t="inlineStr">
        <is>
          <t>・複数税率（軽減税率等）が混在する見積、明細ごとの税区分、内税表示には対応していません。</t>
        </is>
      </c>
      <c r="H24" s="109" t="n"/>
      <c r="J24" s="110" t="str">
        <f>IFERROR(INDEX(tblQCustomers[選択表示],20)&amp;"","")</f>
        <v/>
      </c>
      <c r="L24" s="110" t="str">
        <f>IFERROR(INDEX(tblItems[選択表示],19)&amp;"","")</f>
        <v/>
      </c>
    </row>
    <row r="25">
      <c r="B25" s="114" t="inlineStr">
        <is>
          <t>・値引きは単価の上書きで表します。一括値引き・精算・前払金の差し引きには対応していません。</t>
        </is>
      </c>
      <c r="J25" s="110" t="str">
        <f>IFERROR(INDEX(tblQCustomers[選択表示],21)&amp;"","")</f>
        <v/>
      </c>
      <c r="L25" s="110" t="str">
        <f>IFERROR(INDEX(tblItems[選択表示],20)&amp;"","")</f>
        <v/>
      </c>
    </row>
    <row r="26">
      <c r="B26" s="114" t="inlineStr">
        <is>
          <t>・明細は15行までです。超える場合は見積を分けるか、別紙を添付してください。</t>
        </is>
      </c>
      <c r="J26" s="110" t="str">
        <f>IFERROR(INDEX(tblQCustomers[選択表示],22)&amp;"","")</f>
        <v/>
      </c>
      <c r="L26" s="110" t="str">
        <f>IFERROR(INDEX(tblItems[選択表示],21)&amp;"","")</f>
        <v/>
      </c>
    </row>
    <row r="27">
      <c r="B27" s="114" t="inlineStr">
        <is>
          <t>・PDF保存・送信・発行台帳への記入は自動では行いません（06_発行控え手順）。</t>
        </is>
      </c>
      <c r="J27" s="110" t="str">
        <f>IFERROR(INDEX(tblQCustomers[選択表示],23)&amp;"","")</f>
        <v/>
      </c>
      <c r="L27" s="110" t="str">
        <f>IFERROR(INDEX(tblItems[選択表示],22)&amp;"","")</f>
        <v/>
      </c>
    </row>
    <row r="28">
      <c r="J28" s="110" t="str">
        <f>IFERROR(INDEX(tblQCustomers[選択表示],24)&amp;"","")</f>
        <v/>
      </c>
      <c r="L28" s="110" t="str">
        <f>IFERROR(INDEX(tblItems[選択表示],23)&amp;"","")</f>
        <v/>
      </c>
    </row>
    <row r="29">
      <c r="J29" s="110" t="str">
        <f>IFERROR(INDEX(tblQCustomers[選択表示],25)&amp;"","")</f>
        <v/>
      </c>
      <c r="L29" s="110" t="str">
        <f>IFERROR(INDEX(tblItems[選択表示],24)&amp;"","")</f>
        <v/>
      </c>
    </row>
    <row r="30">
      <c r="J30" s="110" t="str">
        <f>IFERROR(INDEX(tblQCustomers[選択表示],26)&amp;"","")</f>
        <v/>
      </c>
      <c r="L30" s="110" t="str">
        <f>IFERROR(INDEX(tblItems[選択表示],25)&amp;"","")</f>
        <v/>
      </c>
    </row>
    <row r="31">
      <c r="J31" s="110" t="str">
        <f>IFERROR(INDEX(tblQCustomers[選択表示],27)&amp;"","")</f>
        <v/>
      </c>
      <c r="L31" s="110" t="str">
        <f>IFERROR(INDEX(tblItems[選択表示],26)&amp;"","")</f>
        <v/>
      </c>
    </row>
    <row r="32">
      <c r="J32" s="110" t="str">
        <f>IFERROR(INDEX(tblQCustomers[選択表示],28)&amp;"","")</f>
        <v/>
      </c>
      <c r="L32" s="110" t="str">
        <f>IFERROR(INDEX(tblItems[選択表示],27)&amp;"","")</f>
        <v/>
      </c>
    </row>
    <row r="33">
      <c r="J33" s="110" t="str">
        <f>IFERROR(INDEX(tblQCustomers[選択表示],29)&amp;"","")</f>
        <v/>
      </c>
      <c r="L33" s="110" t="str">
        <f>IFERROR(INDEX(tblItems[選択表示],28)&amp;"","")</f>
        <v/>
      </c>
    </row>
    <row r="34">
      <c r="J34" s="110" t="str">
        <f>IFERROR(INDEX(tblQCustomers[選択表示],30)&amp;"","")</f>
        <v/>
      </c>
      <c r="L34" s="110" t="str">
        <f>IFERROR(INDEX(tblItems[選択表示],29)&amp;"","")</f>
        <v/>
      </c>
    </row>
    <row r="35">
      <c r="J35" s="110" t="str">
        <f>IFERROR(INDEX(tblQCustomers[選択表示],31)&amp;"","")</f>
        <v/>
      </c>
      <c r="L35" s="110" t="str">
        <f>IFERROR(INDEX(tblItems[選択表示],30)&amp;"","")</f>
        <v/>
      </c>
    </row>
    <row r="36">
      <c r="J36" s="110" t="str">
        <f>IFERROR(INDEX(tblQCustomers[選択表示],32)&amp;"","")</f>
        <v/>
      </c>
      <c r="L36" s="110" t="str">
        <f>IFERROR(INDEX(tblItems[選択表示],31)&amp;"","")</f>
        <v/>
      </c>
    </row>
    <row r="37">
      <c r="J37" s="110" t="str">
        <f>IFERROR(INDEX(tblQCustomers[選択表示],33)&amp;"","")</f>
        <v/>
      </c>
      <c r="L37" s="110" t="str">
        <f>IFERROR(INDEX(tblItems[選択表示],32)&amp;"","")</f>
        <v/>
      </c>
    </row>
    <row r="38">
      <c r="J38" s="110" t="str">
        <f>IFERROR(INDEX(tblQCustomers[選択表示],34)&amp;"","")</f>
        <v/>
      </c>
      <c r="L38" s="110" t="str">
        <f>IFERROR(INDEX(tblItems[選択表示],33)&amp;"","")</f>
        <v/>
      </c>
    </row>
    <row r="39">
      <c r="J39" s="110" t="str">
        <f>IFERROR(INDEX(tblQCustomers[選択表示],35)&amp;"","")</f>
        <v/>
      </c>
      <c r="L39" s="110" t="str">
        <f>IFERROR(INDEX(tblItems[選択表示],34)&amp;"","")</f>
        <v/>
      </c>
    </row>
    <row r="40">
      <c r="J40" s="110" t="str">
        <f>IFERROR(INDEX(tblQCustomers[選択表示],36)&amp;"","")</f>
        <v/>
      </c>
      <c r="L40" s="110" t="str">
        <f>IFERROR(INDEX(tblItems[選択表示],35)&amp;"","")</f>
        <v/>
      </c>
    </row>
    <row r="41">
      <c r="J41" s="110" t="str">
        <f>IFERROR(INDEX(tblQCustomers[選択表示],37)&amp;"","")</f>
        <v/>
      </c>
      <c r="L41" s="110" t="str">
        <f>IFERROR(INDEX(tblItems[選択表示],36)&amp;"","")</f>
        <v/>
      </c>
    </row>
    <row r="42">
      <c r="J42" s="110" t="str">
        <f>IFERROR(INDEX(tblQCustomers[選択表示],38)&amp;"","")</f>
        <v/>
      </c>
      <c r="L42" s="110" t="str">
        <f>IFERROR(INDEX(tblItems[選択表示],37)&amp;"","")</f>
        <v/>
      </c>
    </row>
    <row r="43">
      <c r="J43" s="110" t="str">
        <f>IFERROR(INDEX(tblQCustomers[選択表示],39)&amp;"","")</f>
        <v/>
      </c>
      <c r="L43" s="110" t="str">
        <f>IFERROR(INDEX(tblItems[選択表示],38)&amp;"","")</f>
        <v/>
      </c>
    </row>
    <row r="44">
      <c r="J44" s="110" t="str">
        <f>IFERROR(INDEX(tblQCustomers[選択表示],40)&amp;"","")</f>
        <v/>
      </c>
      <c r="L44" s="110" t="str">
        <f>IFERROR(INDEX(tblItems[選択表示],39)&amp;"","")</f>
        <v/>
      </c>
    </row>
    <row r="45">
      <c r="J45" s="110" t="str">
        <f>IFERROR(INDEX(tblQCustomers[選択表示],41)&amp;"","")</f>
        <v/>
      </c>
      <c r="L45" s="110" t="str">
        <f>IFERROR(INDEX(tblItems[選択表示],40)&amp;"","")</f>
        <v/>
      </c>
    </row>
    <row r="46">
      <c r="J46" s="110" t="str">
        <f>IFERROR(INDEX(tblQCustomers[選択表示],42)&amp;"","")</f>
        <v/>
      </c>
      <c r="L46" s="110" t="str">
        <f>IFERROR(INDEX(tblItems[選択表示],41)&amp;"","")</f>
        <v/>
      </c>
    </row>
    <row r="47">
      <c r="J47" s="110" t="str">
        <f>IFERROR(INDEX(tblQCustomers[選択表示],43)&amp;"","")</f>
        <v/>
      </c>
      <c r="L47" s="110" t="str">
        <f>IFERROR(INDEX(tblItems[選択表示],42)&amp;"","")</f>
        <v/>
      </c>
    </row>
    <row r="48">
      <c r="J48" s="110" t="str">
        <f>IFERROR(INDEX(tblQCustomers[選択表示],44)&amp;"","")</f>
        <v/>
      </c>
      <c r="L48" s="110" t="str">
        <f>IFERROR(INDEX(tblItems[選択表示],43)&amp;"","")</f>
        <v/>
      </c>
    </row>
    <row r="49">
      <c r="J49" s="110" t="str">
        <f>IFERROR(INDEX(tblQCustomers[選択表示],45)&amp;"","")</f>
        <v/>
      </c>
      <c r="L49" s="110" t="str">
        <f>IFERROR(INDEX(tblItems[選択表示],44)&amp;"","")</f>
        <v/>
      </c>
    </row>
    <row r="50">
      <c r="J50" s="110" t="str">
        <f>IFERROR(INDEX(tblQCustomers[選択表示],46)&amp;"","")</f>
        <v/>
      </c>
      <c r="L50" s="110" t="str">
        <f>IFERROR(INDEX(tblItems[選択表示],45)&amp;"","")</f>
        <v/>
      </c>
    </row>
    <row r="51">
      <c r="J51" s="110" t="str">
        <f>IFERROR(INDEX(tblQCustomers[選択表示],47)&amp;"","")</f>
        <v/>
      </c>
      <c r="L51" s="110" t="str">
        <f>IFERROR(INDEX(tblItems[選択表示],46)&amp;"","")</f>
        <v/>
      </c>
    </row>
    <row r="52">
      <c r="J52" s="110" t="str">
        <f>IFERROR(INDEX(tblQCustomers[選択表示],48)&amp;"","")</f>
        <v/>
      </c>
      <c r="L52" s="110" t="str">
        <f>IFERROR(INDEX(tblItems[選択表示],47)&amp;"","")</f>
        <v/>
      </c>
    </row>
    <row r="53">
      <c r="J53" s="110" t="str">
        <f>IFERROR(INDEX(tblQCustomers[選択表示],49)&amp;"","")</f>
        <v/>
      </c>
      <c r="L53" s="110" t="str">
        <f>IFERROR(INDEX(tblItems[選択表示],48)&amp;"","")</f>
        <v/>
      </c>
    </row>
    <row r="54">
      <c r="J54" s="110" t="str">
        <f>IFERROR(INDEX(tblQCustomers[選択表示],50)&amp;"","")</f>
        <v/>
      </c>
      <c r="L54" s="110" t="str">
        <f>IFERROR(INDEX(tblItems[選択表示],49)&amp;"","")</f>
        <v/>
      </c>
    </row>
    <row r="55">
      <c r="J55" s="110" t="str">
        <f>IFERROR(INDEX(tblQCustomers[選択表示],51)&amp;"","")</f>
        <v/>
      </c>
      <c r="L55" s="110" t="str">
        <f>IFERROR(INDEX(tblItems[選択表示],50)&amp;"","")</f>
        <v/>
      </c>
    </row>
    <row r="56">
      <c r="J56" s="110" t="str">
        <f>IFERROR(INDEX(tblQCustomers[選択表示],52)&amp;"","")</f>
        <v/>
      </c>
      <c r="L56" s="110" t="str">
        <f>IFERROR(INDEX(tblItems[選択表示],51)&amp;"","")</f>
        <v/>
      </c>
    </row>
    <row r="57">
      <c r="J57" s="110" t="str">
        <f>IFERROR(INDEX(tblQCustomers[選択表示],53)&amp;"","")</f>
        <v/>
      </c>
      <c r="L57" s="110" t="str">
        <f>IFERROR(INDEX(tblItems[選択表示],52)&amp;"","")</f>
        <v/>
      </c>
    </row>
    <row r="58">
      <c r="J58" s="110" t="str">
        <f>IFERROR(INDEX(tblQCustomers[選択表示],54)&amp;"","")</f>
        <v/>
      </c>
      <c r="L58" s="110" t="str">
        <f>IFERROR(INDEX(tblItems[選択表示],53)&amp;"","")</f>
        <v/>
      </c>
    </row>
    <row r="59">
      <c r="J59" s="110" t="str">
        <f>IFERROR(INDEX(tblQCustomers[選択表示],55)&amp;"","")</f>
        <v/>
      </c>
      <c r="L59" s="110" t="str">
        <f>IFERROR(INDEX(tblItems[選択表示],54)&amp;"","")</f>
        <v/>
      </c>
    </row>
    <row r="60">
      <c r="J60" s="110" t="str">
        <f>IFERROR(INDEX(tblQCustomers[選択表示],56)&amp;"","")</f>
        <v/>
      </c>
      <c r="L60" s="110" t="str">
        <f>IFERROR(INDEX(tblItems[選択表示],55)&amp;"","")</f>
        <v/>
      </c>
    </row>
    <row r="61">
      <c r="J61" s="110" t="str">
        <f>IFERROR(INDEX(tblQCustomers[選択表示],57)&amp;"","")</f>
        <v/>
      </c>
      <c r="L61" s="110" t="str">
        <f>IFERROR(INDEX(tblItems[選択表示],56)&amp;"","")</f>
        <v/>
      </c>
    </row>
    <row r="62">
      <c r="J62" s="110" t="str">
        <f>IFERROR(INDEX(tblQCustomers[選択表示],58)&amp;"","")</f>
        <v/>
      </c>
      <c r="L62" s="110" t="str">
        <f>IFERROR(INDEX(tblItems[選択表示],57)&amp;"","")</f>
        <v/>
      </c>
    </row>
    <row r="63">
      <c r="J63" s="110" t="str">
        <f>IFERROR(INDEX(tblQCustomers[選択表示],59)&amp;"","")</f>
        <v/>
      </c>
      <c r="L63" s="110" t="str">
        <f>IFERROR(INDEX(tblItems[選択表示],58)&amp;"","")</f>
        <v/>
      </c>
    </row>
    <row r="64">
      <c r="J64" s="110" t="str">
        <f>IFERROR(INDEX(tblQCustomers[選択表示],60)&amp;"","")</f>
        <v/>
      </c>
      <c r="L64" s="110" t="str">
        <f>IFERROR(INDEX(tblItems[選択表示],59)&amp;"","")</f>
        <v/>
      </c>
    </row>
    <row r="65">
      <c r="J65" s="110" t="str">
        <f>IFERROR(INDEX(tblQCustomers[選択表示],61)&amp;"","")</f>
        <v/>
      </c>
      <c r="L65" s="110" t="str">
        <f>IFERROR(INDEX(tblItems[選択表示],60)&amp;"","")</f>
        <v/>
      </c>
    </row>
    <row r="66">
      <c r="J66" s="110" t="str">
        <f>IFERROR(INDEX(tblQCustomers[選択表示],62)&amp;"","")</f>
        <v/>
      </c>
      <c r="L66" s="110" t="str">
        <f>IFERROR(INDEX(tblItems[選択表示],61)&amp;"","")</f>
        <v/>
      </c>
    </row>
    <row r="67">
      <c r="J67" s="110" t="str">
        <f>IFERROR(INDEX(tblQCustomers[選択表示],63)&amp;"","")</f>
        <v/>
      </c>
      <c r="L67" s="110" t="str">
        <f>IFERROR(INDEX(tblItems[選択表示],62)&amp;"","")</f>
        <v/>
      </c>
    </row>
    <row r="68">
      <c r="J68" s="110" t="str">
        <f>IFERROR(INDEX(tblQCustomers[選択表示],64)&amp;"","")</f>
        <v/>
      </c>
      <c r="L68" s="110" t="str">
        <f>IFERROR(INDEX(tblItems[選択表示],63)&amp;"","")</f>
        <v/>
      </c>
    </row>
    <row r="69">
      <c r="J69" s="110" t="str">
        <f>IFERROR(INDEX(tblQCustomers[選択表示],65)&amp;"","")</f>
        <v/>
      </c>
      <c r="L69" s="110" t="str">
        <f>IFERROR(INDEX(tblItems[選択表示],64)&amp;"","")</f>
        <v/>
      </c>
    </row>
    <row r="70">
      <c r="J70" s="110" t="str">
        <f>IFERROR(INDEX(tblQCustomers[選択表示],66)&amp;"","")</f>
        <v/>
      </c>
      <c r="L70" s="110" t="str">
        <f>IFERROR(INDEX(tblItems[選択表示],65)&amp;"","")</f>
        <v/>
      </c>
    </row>
    <row r="71">
      <c r="J71" s="110" t="str">
        <f>IFERROR(INDEX(tblQCustomers[選択表示],67)&amp;"","")</f>
        <v/>
      </c>
      <c r="L71" s="110" t="str">
        <f>IFERROR(INDEX(tblItems[選択表示],66)&amp;"","")</f>
        <v/>
      </c>
    </row>
    <row r="72">
      <c r="J72" s="110" t="str">
        <f>IFERROR(INDEX(tblQCustomers[選択表示],68)&amp;"","")</f>
        <v/>
      </c>
      <c r="L72" s="110" t="str">
        <f>IFERROR(INDEX(tblItems[選択表示],67)&amp;"","")</f>
        <v/>
      </c>
    </row>
    <row r="73">
      <c r="J73" s="110" t="str">
        <f>IFERROR(INDEX(tblQCustomers[選択表示],69)&amp;"","")</f>
        <v/>
      </c>
      <c r="L73" s="110" t="str">
        <f>IFERROR(INDEX(tblItems[選択表示],68)&amp;"","")</f>
        <v/>
      </c>
    </row>
    <row r="74">
      <c r="J74" s="110" t="str">
        <f>IFERROR(INDEX(tblQCustomers[選択表示],70)&amp;"","")</f>
        <v/>
      </c>
      <c r="L74" s="110" t="str">
        <f>IFERROR(INDEX(tblItems[選択表示],69)&amp;"","")</f>
        <v/>
      </c>
    </row>
    <row r="75">
      <c r="J75" s="110" t="str">
        <f>IFERROR(INDEX(tblQCustomers[選択表示],71)&amp;"","")</f>
        <v/>
      </c>
      <c r="L75" s="110" t="str">
        <f>IFERROR(INDEX(tblItems[選択表示],70)&amp;"","")</f>
        <v/>
      </c>
    </row>
    <row r="76">
      <c r="J76" s="110" t="str">
        <f>IFERROR(INDEX(tblQCustomers[選択表示],72)&amp;"","")</f>
        <v/>
      </c>
      <c r="L76" s="110" t="str">
        <f>IFERROR(INDEX(tblItems[選択表示],71)&amp;"","")</f>
        <v/>
      </c>
    </row>
    <row r="77">
      <c r="J77" s="110" t="str">
        <f>IFERROR(INDEX(tblQCustomers[選択表示],73)&amp;"","")</f>
        <v/>
      </c>
      <c r="L77" s="110" t="str">
        <f>IFERROR(INDEX(tblItems[選択表示],72)&amp;"","")</f>
        <v/>
      </c>
    </row>
    <row r="78">
      <c r="J78" s="110" t="str">
        <f>IFERROR(INDEX(tblQCustomers[選択表示],74)&amp;"","")</f>
        <v/>
      </c>
      <c r="L78" s="110" t="str">
        <f>IFERROR(INDEX(tblItems[選択表示],73)&amp;"","")</f>
        <v/>
      </c>
    </row>
    <row r="79">
      <c r="J79" s="110" t="str">
        <f>IFERROR(INDEX(tblQCustomers[選択表示],75)&amp;"","")</f>
        <v/>
      </c>
      <c r="L79" s="110" t="str">
        <f>IFERROR(INDEX(tblItems[選択表示],74)&amp;"","")</f>
        <v/>
      </c>
    </row>
    <row r="80">
      <c r="J80" s="110" t="str">
        <f>IFERROR(INDEX(tblQCustomers[選択表示],76)&amp;"","")</f>
        <v/>
      </c>
      <c r="L80" s="110" t="str">
        <f>IFERROR(INDEX(tblItems[選択表示],75)&amp;"","")</f>
        <v/>
      </c>
    </row>
    <row r="81">
      <c r="J81" s="110" t="str">
        <f>IFERROR(INDEX(tblQCustomers[選択表示],77)&amp;"","")</f>
        <v/>
      </c>
      <c r="L81" s="110" t="str">
        <f>IFERROR(INDEX(tblItems[選択表示],76)&amp;"","")</f>
        <v/>
      </c>
    </row>
    <row r="82">
      <c r="J82" s="110" t="str">
        <f>IFERROR(INDEX(tblQCustomers[選択表示],78)&amp;"","")</f>
        <v/>
      </c>
      <c r="L82" s="110" t="str">
        <f>IFERROR(INDEX(tblItems[選択表示],77)&amp;"","")</f>
        <v/>
      </c>
    </row>
    <row r="83">
      <c r="J83" s="110" t="str">
        <f>IFERROR(INDEX(tblQCustomers[選択表示],79)&amp;"","")</f>
        <v/>
      </c>
      <c r="L83" s="110" t="str">
        <f>IFERROR(INDEX(tblItems[選択表示],78)&amp;"","")</f>
        <v/>
      </c>
    </row>
    <row r="84">
      <c r="J84" s="110" t="str">
        <f>IFERROR(INDEX(tblQCustomers[選択表示],80)&amp;"","")</f>
        <v/>
      </c>
      <c r="L84" s="110" t="str">
        <f>IFERROR(INDEX(tblItems[選択表示],79)&amp;"","")</f>
        <v/>
      </c>
    </row>
    <row r="85">
      <c r="J85" s="110" t="str">
        <f>IFERROR(INDEX(tblQCustomers[選択表示],81)&amp;"","")</f>
        <v/>
      </c>
      <c r="L85" s="110" t="str">
        <f>IFERROR(INDEX(tblItems[選択表示],80)&amp;"","")</f>
        <v/>
      </c>
    </row>
    <row r="86">
      <c r="J86" s="110" t="str">
        <f>IFERROR(INDEX(tblQCustomers[選択表示],82)&amp;"","")</f>
        <v/>
      </c>
      <c r="L86" s="110" t="str">
        <f>IFERROR(INDEX(tblItems[選択表示],81)&amp;"","")</f>
        <v/>
      </c>
    </row>
    <row r="87">
      <c r="J87" s="110" t="str">
        <f>IFERROR(INDEX(tblQCustomers[選択表示],83)&amp;"","")</f>
        <v/>
      </c>
      <c r="L87" s="110" t="str">
        <f>IFERROR(INDEX(tblItems[選択表示],82)&amp;"","")</f>
        <v/>
      </c>
    </row>
    <row r="88">
      <c r="J88" s="110" t="str">
        <f>IFERROR(INDEX(tblQCustomers[選択表示],84)&amp;"","")</f>
        <v/>
      </c>
      <c r="L88" s="110" t="str">
        <f>IFERROR(INDEX(tblItems[選択表示],83)&amp;"","")</f>
        <v/>
      </c>
    </row>
    <row r="89">
      <c r="J89" s="110" t="str">
        <f>IFERROR(INDEX(tblQCustomers[選択表示],85)&amp;"","")</f>
        <v/>
      </c>
      <c r="L89" s="110" t="str">
        <f>IFERROR(INDEX(tblItems[選択表示],84)&amp;"","")</f>
        <v/>
      </c>
    </row>
    <row r="90">
      <c r="J90" s="110" t="str">
        <f>IFERROR(INDEX(tblQCustomers[選択表示],86)&amp;"","")</f>
        <v/>
      </c>
      <c r="L90" s="110" t="str">
        <f>IFERROR(INDEX(tblItems[選択表示],85)&amp;"","")</f>
        <v/>
      </c>
    </row>
    <row r="91">
      <c r="J91" s="110" t="str">
        <f>IFERROR(INDEX(tblQCustomers[選択表示],87)&amp;"","")</f>
        <v/>
      </c>
      <c r="L91" s="110" t="str">
        <f>IFERROR(INDEX(tblItems[選択表示],86)&amp;"","")</f>
        <v/>
      </c>
    </row>
    <row r="92">
      <c r="J92" s="110" t="str">
        <f>IFERROR(INDEX(tblQCustomers[選択表示],88)&amp;"","")</f>
        <v/>
      </c>
      <c r="L92" s="110" t="str">
        <f>IFERROR(INDEX(tblItems[選択表示],87)&amp;"","")</f>
        <v/>
      </c>
    </row>
    <row r="93">
      <c r="J93" s="110" t="str">
        <f>IFERROR(INDEX(tblQCustomers[選択表示],89)&amp;"","")</f>
        <v/>
      </c>
      <c r="L93" s="110" t="str">
        <f>IFERROR(INDEX(tblItems[選択表示],88)&amp;"","")</f>
        <v/>
      </c>
    </row>
    <row r="94">
      <c r="J94" s="110" t="str">
        <f>IFERROR(INDEX(tblQCustomers[選択表示],90)&amp;"","")</f>
        <v/>
      </c>
      <c r="L94" s="110" t="str">
        <f>IFERROR(INDEX(tblItems[選択表示],89)&amp;"","")</f>
        <v/>
      </c>
    </row>
    <row r="95">
      <c r="J95" s="110" t="str">
        <f>IFERROR(INDEX(tblQCustomers[選択表示],91)&amp;"","")</f>
        <v/>
      </c>
      <c r="L95" s="110" t="str">
        <f>IFERROR(INDEX(tblItems[選択表示],90)&amp;"","")</f>
        <v/>
      </c>
    </row>
    <row r="96">
      <c r="J96" s="110" t="str">
        <f>IFERROR(INDEX(tblQCustomers[選択表示],92)&amp;"","")</f>
        <v/>
      </c>
      <c r="L96" s="110" t="str">
        <f>IFERROR(INDEX(tblItems[選択表示],91)&amp;"","")</f>
        <v/>
      </c>
    </row>
    <row r="97">
      <c r="J97" s="110" t="str">
        <f>IFERROR(INDEX(tblQCustomers[選択表示],93)&amp;"","")</f>
        <v/>
      </c>
      <c r="L97" s="110" t="str">
        <f>IFERROR(INDEX(tblItems[選択表示],92)&amp;"","")</f>
        <v/>
      </c>
    </row>
    <row r="98">
      <c r="J98" s="110" t="str">
        <f>IFERROR(INDEX(tblQCustomers[選択表示],94)&amp;"","")</f>
        <v/>
      </c>
      <c r="L98" s="110" t="str">
        <f>IFERROR(INDEX(tblItems[選択表示],93)&amp;"","")</f>
        <v/>
      </c>
    </row>
    <row r="99">
      <c r="J99" s="110" t="str">
        <f>IFERROR(INDEX(tblQCustomers[選択表示],95)&amp;"","")</f>
        <v/>
      </c>
      <c r="L99" s="110" t="str">
        <f>IFERROR(INDEX(tblItems[選択表示],94)&amp;"","")</f>
        <v/>
      </c>
    </row>
    <row r="100">
      <c r="J100" s="110" t="str">
        <f>IFERROR(INDEX(tblQCustomers[選択表示],96)&amp;"","")</f>
        <v/>
      </c>
      <c r="L100" s="110" t="str">
        <f>IFERROR(INDEX(tblItems[選択表示],95)&amp;"","")</f>
        <v/>
      </c>
    </row>
    <row r="101">
      <c r="J101" s="110" t="str">
        <f>IFERROR(INDEX(tblQCustomers[選択表示],97)&amp;"","")</f>
        <v/>
      </c>
      <c r="L101" s="110" t="str">
        <f>IFERROR(INDEX(tblItems[選択表示],96)&amp;"","")</f>
        <v/>
      </c>
    </row>
    <row r="102">
      <c r="J102" s="110" t="str">
        <f>IFERROR(INDEX(tblQCustomers[選択表示],98)&amp;"","")</f>
        <v/>
      </c>
      <c r="L102" s="110" t="str">
        <f>IFERROR(INDEX(tblItems[選択表示],97)&amp;"","")</f>
        <v/>
      </c>
    </row>
    <row r="103">
      <c r="J103" s="110" t="str">
        <f>IFERROR(INDEX(tblQCustomers[選択表示],99)&amp;"","")</f>
        <v/>
      </c>
      <c r="L103" s="110" t="str">
        <f>IFERROR(INDEX(tblItems[選択表示],98)&amp;"","")</f>
        <v/>
      </c>
    </row>
    <row r="104">
      <c r="J104" s="110" t="str">
        <f>IFERROR(INDEX(tblQCustomers[選択表示],100)&amp;"","")</f>
        <v/>
      </c>
      <c r="L104" s="110" t="str">
        <f>IFERROR(INDEX(tblItems[選択表示],99)&amp;"","")</f>
        <v/>
      </c>
    </row>
    <row r="105">
      <c r="J105" s="110" t="n"/>
      <c r="L105" s="110" t="str">
        <f>IFERROR(INDEX(tblItems[選択表示],100)&amp;"","")</f>
        <v/>
      </c>
    </row>
  </sheetData>
  <dataValidations count="4">
    <dataValidation sqref="C15" showDropDown="0" showInputMessage="0" showErrorMessage="1" allowBlank="1" errorTitle="値を確認" error="税率は 0%〜100% で入力（例 10%）" type="decimal" errorStyle="stop" operator="between">
      <formula1>0</formula1>
      <formula2>1</formula2>
    </dataValidation>
    <dataValidation sqref="C16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"切り捨て,四捨五入,切り上げ"</formula1>
    </dataValidation>
    <dataValidation sqref="C17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"切り捨て,四捨五入,切り上げ"</formula1>
    </dataValidation>
    <dataValidation sqref="C18" showDropDown="0" showInputMessage="0" showErrorMessage="1" allowBlank="1" errorTitle="値を確認" error="範囲外の値です。このまま登録すると入力チェック欄に警告が表示されます。" type="decimal" errorStyle="stop" operator="between">
      <formula1>0</formula1>
      <formula2>365</formula2>
    </dataValidation>
  </dataValidations>
  <hyperlinks>
    <hyperlink ref="L1" location="'01_入力'!A1" display="← 01_入力へ"/>
  </hyperlinks>
  <printOptions horizontalCentered="1"/>
  <pageMargins left="0.4" right="0.4" top="0.5" bottom="0.5" header="0.2" footer="0.2"/>
  <pageSetup orientation="landscape" paperSize="9" fitToHeight="0" fitToWidth="1"/>
  <headerFooter>
    <oddHeader/>
    <oddFooter>&amp;L&amp;8 &amp;A&amp;C&amp;8 &amp;P / &amp;N ページ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2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3" customWidth="1" min="2" max="2"/>
    <col width="7" customWidth="1" min="3" max="3"/>
    <col width="12" customWidth="1" min="4" max="4"/>
    <col width="9" customWidth="1" min="5" max="5"/>
    <col width="24" customWidth="1" min="6" max="6"/>
    <col width="28" customWidth="1" min="7" max="7"/>
    <col width="13" customWidth="1" min="8" max="8"/>
    <col width="30" customWidth="1" min="9" max="9"/>
    <col width="11" customWidth="1" min="10" max="10"/>
    <col width="10" customWidth="1" min="11" max="11"/>
    <col width="12" customWidth="1" min="12" max="12"/>
  </cols>
  <sheetData>
    <row r="1" ht="30" customHeight="1">
      <c r="A1" s="1" t="inlineStr">
        <is>
          <t>発行控え手順（提出した版を変わらない形で残す）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89" t="inlineStr">
        <is>
          <t>← 01_入力へ</t>
        </is>
      </c>
    </row>
    <row r="2" ht="20" customHeight="1">
      <c r="A2" s="90" t="inlineStr">
        <is>
          <t>マクロなしのため、保存・送信・台帳への記入は自動では行いません。提出のたびに次の手順で控えを作ります。</t>
        </is>
      </c>
    </row>
    <row r="3" ht="24" customHeight="1">
      <c r="B3" s="115" t="inlineStr">
        <is>
          <t>推奨ファイル名</t>
        </is>
      </c>
      <c r="D3" s="116" t="str">
        <f>IF(OR(Q_No="",NOT(ISNUMBER(Q_Ver))),"（見積番号と版を入れると表示）","見積_"&amp;Q_No&amp;"_v"&amp;Q_Ver&amp;"_"&amp;IF(OR(Q_CustRow="",Q_CustRow="未登録"),"顧客未選択",LEFT(INDEX(tblQCustomers[会社名],Q_CustRow),20))&amp;".pdf")</f>
        <v>（見積番号と版を入れると表示）</v>
      </c>
    </row>
    <row r="5" ht="22" customHeight="1">
      <c r="B5" s="117" t="inlineStr">
        <is>
          <t>① 01_入力 の上部が「✓ 入力チェック：問題なし」になっていることを確認します（要確認があるまま提出しない）。</t>
        </is>
      </c>
    </row>
    <row r="6" ht="22" customHeight="1">
      <c r="B6" s="117" t="inlineStr">
        <is>
          <t>② 02_見積書 を開き、宛名・件名・明細・金額・備考を目で確認します（ファイル › 印刷 のプレビューで A4 縦1枚に収まっているか）。</t>
        </is>
      </c>
    </row>
    <row r="7" ht="34" customHeight="1">
      <c r="B7" s="117" t="inlineStr">
        <is>
          <t>③ PDF で保存します。Windows：ファイル › エクスポート › PDF/XPS の作成 › オプションで「選択したシート」。Mac：02_見積書を表示した状態で ファイル › 印刷 › 左下の［PDF］› PDFとして保存。保存名は上の推奨ファイル名。</t>
        </is>
      </c>
    </row>
    <row r="8" ht="50" customHeight="1">
      <c r="B8" s="117" t="inlineStr">
        <is>
          <t>④ Excel の控えも残す場合（任意）：02_見積書 のシート見出しを右クリック › 移動またはコピー › 移動先「（新しいブック）」・「コピーを作成する」にチェック → 新しいブックで ［校閲］›［シート保護の解除］→ 全体を選択してコピー › 形式を選択して貼り付け ›「値」 → ［データ］›［リンクの編集］で元ブックへのリンクが無いことを確認 → 推奨ファイル名（.xlsx）で保存。</t>
        </is>
      </c>
    </row>
    <row r="9" ht="34" customHeight="1">
      <c r="B9" s="117" t="inlineStr">
        <is>
          <t>⑤ 顧客に送るのは ③ の PDF（または ④ の値だけの控え）だけです。このブック（顧客マスター・商品マスター・他社の情報を含む）は送りません。</t>
        </is>
      </c>
    </row>
    <row r="10" ht="22" customHeight="1">
      <c r="B10" s="117" t="inlineStr">
        <is>
          <t>⑥ 下の「発行控え台帳」と、顧客管理CRM の 02_案件一覧（見積番号・見積版・見積提出日・見積額）に手入力します。</t>
        </is>
      </c>
    </row>
    <row r="11" ht="22" customHeight="1">
      <c r="B11" s="117" t="inlineStr">
        <is>
          <t>⑦ 提出後に修正する時は、01_入力 の版を上げて作り直し、新しいファイル名で保存します（提出済みの PDF・控えは上書きしない）。</t>
        </is>
      </c>
    </row>
    <row r="12" ht="34" customHeight="1">
      <c r="B12" s="118" t="inlineStr">
        <is>
          <t>※ このブックは下書きです。マスターの単価や顧客情報を変えると、01_入力・02_見積書の表示も変わります。提出済みの内容は ③④ のファイルが正本です。</t>
        </is>
      </c>
    </row>
    <row r="14">
      <c r="B14" s="16" t="inlineStr">
        <is>
          <t>発行控え台帳（手入力）</t>
        </is>
      </c>
    </row>
    <row r="15" ht="28" customHeight="1">
      <c r="B15" s="95" t="inlineStr">
        <is>
          <t>見積番号</t>
        </is>
      </c>
      <c r="C15" s="95" t="inlineStr">
        <is>
          <t>版</t>
        </is>
      </c>
      <c r="D15" s="95" t="inlineStr">
        <is>
          <t>発行日</t>
        </is>
      </c>
      <c r="E15" s="95" t="inlineStr">
        <is>
          <t>顧客ID</t>
        </is>
      </c>
      <c r="F15" s="95" t="inlineStr">
        <is>
          <t>顧客名</t>
        </is>
      </c>
      <c r="G15" s="95" t="inlineStr">
        <is>
          <t>件名</t>
        </is>
      </c>
      <c r="H15" s="95" t="inlineStr">
        <is>
          <t>合計（税込）</t>
        </is>
      </c>
      <c r="I15" s="95" t="inlineStr">
        <is>
          <t>保存したファイル名</t>
        </is>
      </c>
      <c r="J15" s="95" t="inlineStr">
        <is>
          <t>提出日</t>
        </is>
      </c>
      <c r="K15" s="95" t="inlineStr">
        <is>
          <t>提出方法</t>
        </is>
      </c>
      <c r="L15" s="95" t="inlineStr">
        <is>
          <t>担当</t>
        </is>
      </c>
    </row>
    <row r="16">
      <c r="B16" s="98" t="n"/>
      <c r="C16" s="101" t="n"/>
      <c r="D16" s="119" t="n"/>
      <c r="E16" s="98" t="n"/>
      <c r="F16" s="99" t="n"/>
      <c r="G16" s="99" t="n"/>
      <c r="H16" s="105" t="n"/>
      <c r="I16" s="99" t="n"/>
      <c r="J16" s="119" t="n"/>
      <c r="K16" s="100" t="n"/>
      <c r="L16" s="100" t="n"/>
    </row>
    <row r="17">
      <c r="B17" s="98" t="n"/>
      <c r="C17" s="101" t="n"/>
      <c r="D17" s="119" t="n"/>
      <c r="E17" s="98" t="n"/>
      <c r="F17" s="99" t="n"/>
      <c r="G17" s="99" t="n"/>
      <c r="H17" s="105" t="n"/>
      <c r="I17" s="99" t="n"/>
      <c r="J17" s="119" t="n"/>
      <c r="K17" s="100" t="n"/>
      <c r="L17" s="100" t="n"/>
    </row>
    <row r="18">
      <c r="B18" s="98" t="n"/>
      <c r="C18" s="101" t="n"/>
      <c r="D18" s="119" t="n"/>
      <c r="E18" s="98" t="n"/>
      <c r="F18" s="99" t="n"/>
      <c r="G18" s="99" t="n"/>
      <c r="H18" s="105" t="n"/>
      <c r="I18" s="99" t="n"/>
      <c r="J18" s="119" t="n"/>
      <c r="K18" s="100" t="n"/>
      <c r="L18" s="100" t="n"/>
    </row>
    <row r="19">
      <c r="B19" s="98" t="n"/>
      <c r="C19" s="101" t="n"/>
      <c r="D19" s="119" t="n"/>
      <c r="E19" s="98" t="n"/>
      <c r="F19" s="99" t="n"/>
      <c r="G19" s="99" t="n"/>
      <c r="H19" s="105" t="n"/>
      <c r="I19" s="99" t="n"/>
      <c r="J19" s="119" t="n"/>
      <c r="K19" s="100" t="n"/>
      <c r="L19" s="100" t="n"/>
    </row>
    <row r="20">
      <c r="B20" s="98" t="n"/>
      <c r="C20" s="101" t="n"/>
      <c r="D20" s="119" t="n"/>
      <c r="E20" s="98" t="n"/>
      <c r="F20" s="99" t="n"/>
      <c r="G20" s="99" t="n"/>
      <c r="H20" s="105" t="n"/>
      <c r="I20" s="99" t="n"/>
      <c r="J20" s="119" t="n"/>
      <c r="K20" s="100" t="n"/>
      <c r="L20" s="100" t="n"/>
    </row>
    <row r="21">
      <c r="B21" s="98" t="n"/>
      <c r="C21" s="101" t="n"/>
      <c r="D21" s="119" t="n"/>
      <c r="E21" s="98" t="n"/>
      <c r="F21" s="99" t="n"/>
      <c r="G21" s="99" t="n"/>
      <c r="H21" s="105" t="n"/>
      <c r="I21" s="99" t="n"/>
      <c r="J21" s="119" t="n"/>
      <c r="K21" s="100" t="n"/>
      <c r="L21" s="100" t="n"/>
    </row>
    <row r="22">
      <c r="B22" s="98" t="n"/>
      <c r="C22" s="101" t="n"/>
      <c r="D22" s="119" t="n"/>
      <c r="E22" s="98" t="n"/>
      <c r="F22" s="99" t="n"/>
      <c r="G22" s="99" t="n"/>
      <c r="H22" s="105" t="n"/>
      <c r="I22" s="99" t="n"/>
      <c r="J22" s="119" t="n"/>
      <c r="K22" s="100" t="n"/>
      <c r="L22" s="100" t="n"/>
    </row>
    <row r="23">
      <c r="B23" s="98" t="n"/>
      <c r="C23" s="101" t="n"/>
      <c r="D23" s="119" t="n"/>
      <c r="E23" s="98" t="n"/>
      <c r="F23" s="99" t="n"/>
      <c r="G23" s="99" t="n"/>
      <c r="H23" s="105" t="n"/>
      <c r="I23" s="99" t="n"/>
      <c r="J23" s="119" t="n"/>
      <c r="K23" s="100" t="n"/>
      <c r="L23" s="100" t="n"/>
    </row>
    <row r="24">
      <c r="B24" s="98" t="n"/>
      <c r="C24" s="101" t="n"/>
      <c r="D24" s="119" t="n"/>
      <c r="E24" s="98" t="n"/>
      <c r="F24" s="99" t="n"/>
      <c r="G24" s="99" t="n"/>
      <c r="H24" s="105" t="n"/>
      <c r="I24" s="99" t="n"/>
      <c r="J24" s="119" t="n"/>
      <c r="K24" s="100" t="n"/>
      <c r="L24" s="100" t="n"/>
    </row>
  </sheetData>
  <mergeCells count="10">
    <mergeCell ref="B12:L12"/>
    <mergeCell ref="B6:L6"/>
    <mergeCell ref="B3:C3"/>
    <mergeCell ref="B7:L7"/>
    <mergeCell ref="B11:L11"/>
    <mergeCell ref="B5:L5"/>
    <mergeCell ref="B10:L10"/>
    <mergeCell ref="D3:I3"/>
    <mergeCell ref="B9:L9"/>
    <mergeCell ref="B8:L8"/>
  </mergeCells>
  <hyperlinks>
    <hyperlink ref="L1" location="'01_入力'!A1" display="← 01_入力へ"/>
  </hyperlinks>
  <printOptions horizontalCentered="1"/>
  <pageMargins left="0.4" right="0.4" top="0.5" bottom="0.5" header="0.2" footer="0.2"/>
  <pageSetup orientation="landscape" paperSize="9" fitToHeight="0" fitToWidth="1"/>
  <headerFooter>
    <oddHeader/>
    <oddFooter>&amp;L&amp;8 &amp;A&amp;C&amp;8 &amp;P / &amp;N ページ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tabColor rgb="00C9F45F"/>
    <outlinePr summaryBelow="1" summaryRight="1"/>
    <pageSetUpPr fitToPage="1"/>
  </sheetPr>
  <dimension ref="A1:D4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80" customWidth="1" min="2" max="2"/>
    <col width="22" customWidth="1" min="3" max="3"/>
    <col width="14" customWidth="1" min="4" max="4"/>
  </cols>
  <sheetData>
    <row r="1" ht="30" customHeight="1">
      <c r="A1" s="1" t="inlineStr">
        <is>
          <t>使い方：自動反映見積書</t>
        </is>
      </c>
      <c r="B1" s="2" t="n"/>
      <c r="C1" s="2" t="n"/>
      <c r="D1" s="89" t="inlineStr">
        <is>
          <t>← 01_入力へ</t>
        </is>
      </c>
    </row>
    <row r="3" ht="24" customHeight="1">
      <c r="B3" s="120" t="inlineStr">
        <is>
          <t>このブックでできること</t>
        </is>
      </c>
    </row>
    <row r="4">
      <c r="B4" s="117" t="inlineStr">
        <is>
          <t>・第1シート「01_入力」で顧客・商品を選び数量を入れると、第2シート「02_見積書」に宛名・明細・金額が自動で反映されます（明細は最大15行）。</t>
        </is>
      </c>
    </row>
    <row r="5">
      <c r="B5" s="117" t="inlineStr">
        <is>
          <t>・金額＝数量×適用単価（円未満の処理は 05_設定）。小計・消費税・合計も数式で計算します。見積書は 01_入力 の計算結果を表示するだけです。</t>
        </is>
      </c>
    </row>
    <row r="6">
      <c r="B6" s="117" t="inlineStr">
        <is>
          <t>・入力が足りない・未登録のIDなどは、01_入力 の上部と各行に理由を表示し、見積書には「下書き：入力要確認」と表示して金額を「要確認」にします。</t>
        </is>
      </c>
    </row>
    <row r="7">
      <c r="B7" s="117" t="inlineStr">
        <is>
          <t>・マクロなしの .xlsx です。PDF保存・送信・台帳記入は自動では行いません（06_発行控え手順）。AI・プラグインへのログインは不要です。</t>
        </is>
      </c>
    </row>
    <row r="9" ht="24" customHeight="1">
      <c r="B9" s="120" t="inlineStr">
        <is>
          <t>最初にやること（開始手順）</t>
        </is>
      </c>
    </row>
    <row r="10">
      <c r="B10" s="117" t="inlineStr">
        <is>
          <t>1. 05_設定：発行元（自社）の会社名・住所・電話・担当者を入力し、税率と端数処理を確認します。</t>
        </is>
      </c>
    </row>
    <row r="11">
      <c r="B11" s="117" t="inlineStr">
        <is>
          <t>2. 03_顧客マスター：顧客ID（例 C001）・会社名・住所・部署・担当者・敬称を登録します。CRM と同じ顧客IDを使うと照合しやすくなります。</t>
        </is>
      </c>
    </row>
    <row r="12">
      <c r="B12" s="117" t="inlineStr">
        <is>
          <t>3. 04_商品マスター：商品ID（例 I001）・品名・仕様・単位・標準単価（税抜）を登録します。0円の項目は「無償扱い」を「はい」にします。</t>
        </is>
      </c>
    </row>
    <row r="13">
      <c r="B13" s="117" t="inlineStr">
        <is>
          <t>4. 01_入力 で見積を作り、02_見積書 で確認します。</t>
        </is>
      </c>
    </row>
    <row r="14">
      <c r="B14" s="117" t="inlineStr">
        <is>
          <t>※ 空欄テンプレートでは、マスターの表の1行目から入力します。表のすぐ下の行に続けて入力すると表が広がります。</t>
        </is>
      </c>
    </row>
    <row r="16" ht="24" customHeight="1">
      <c r="B16" s="120" t="inlineStr">
        <is>
          <t>見積の作り方（毎回）</t>
        </is>
      </c>
    </row>
    <row r="17">
      <c r="B17" s="117" t="inlineStr">
        <is>
          <t>① 宛先を選ぶ：顧客（選択）は「顧客ID｜会社名（部署）」から選びます。同じ会社名が複数あってもIDで区別されます。</t>
        </is>
      </c>
    </row>
    <row r="18">
      <c r="B18" s="117" t="inlineStr">
        <is>
          <t>② 明細を入力：商品を選び、数量を入れます。この見積だけ単価を変える時は「単価の上書き」に入れます（数式のセルは消さない）。</t>
        </is>
      </c>
    </row>
    <row r="19">
      <c r="B19" s="117" t="inlineStr">
        <is>
          <t xml:space="preserve">   マスターにない品目は「手入力（マスター外）」を選び、品名・単位・単価の上書きを入れます。</t>
        </is>
      </c>
    </row>
    <row r="20">
      <c r="B20" s="117" t="inlineStr">
        <is>
          <t xml:space="preserve">   マスター品目では品名・単位はマスターが優先です。「品名の補足」に入れた文字は品名の後ろに追記されます。</t>
        </is>
      </c>
    </row>
    <row r="21">
      <c r="B21" s="117" t="inlineStr">
        <is>
          <t>③ 見積書を確認：02_見積書 を開き、印刷プレビューで A4 縦1枚に収まっているか確認します。</t>
        </is>
      </c>
    </row>
    <row r="22">
      <c r="B22" s="117" t="inlineStr">
        <is>
          <t>・発行日は日付を手入力します（TODAY 関数は使っていないので、翌日開いても変わりません）。</t>
        </is>
      </c>
    </row>
    <row r="23">
      <c r="B23" s="117" t="inlineStr">
        <is>
          <t>・新しい見積を作る時は、01_入力 の見積番号・発行日・明細を入れ替えます。前の見積は PDF・控えで残してください。</t>
        </is>
      </c>
    </row>
    <row r="25" ht="24" customHeight="1">
      <c r="B25" s="120" t="inlineStr">
        <is>
          <t>計算のルール</t>
        </is>
      </c>
    </row>
    <row r="26">
      <c r="B26" s="117" t="inlineStr">
        <is>
          <t>・適用単価＝単価の上書きがあればその値、なければマスターの標準単価。</t>
        </is>
      </c>
    </row>
    <row r="27">
      <c r="B27" s="117" t="inlineStr">
        <is>
          <t>・明細金額＝数量×適用単価（円未満は 05_設定 の「明細金額の円未満」で切り捨て／四捨五入／切り上げ）。</t>
        </is>
      </c>
    </row>
    <row r="28">
      <c r="B28" s="117" t="inlineStr">
        <is>
          <t>・消費税＝小計×税率（円未満は「消費税の端数処理」）。1見積につき1税率です。複数税率・内税・一括値引きには対応していません。</t>
        </is>
      </c>
    </row>
    <row r="29">
      <c r="B29" s="117" t="inlineStr">
        <is>
          <t>・完全な空行は計算しません。商品だけ・数量だけなどの途中入力、未登録の商品ID、0以下の数量は「要確認」になり、0円として扱いません。</t>
        </is>
      </c>
    </row>
    <row r="30">
      <c r="B30" s="117" t="inlineStr">
        <is>
          <t>・単価0円は「無償扱い＝はい」の商品か、単価の上書きに0を入れた場合だけ「OK（無償）」です。それ以外の0円は要確認です。</t>
        </is>
      </c>
    </row>
    <row r="32" ht="24" customHeight="1">
      <c r="B32" s="120" t="inlineStr">
        <is>
          <t>提出と控え</t>
        </is>
      </c>
    </row>
    <row r="33">
      <c r="B33" s="117" t="inlineStr">
        <is>
          <t>・提出する前に 06_発行控え手順 の①〜⑦を行います。顧客に送るのは PDF（または値だけの控え）で、このブックは送りません。</t>
        </is>
      </c>
    </row>
    <row r="34">
      <c r="B34" s="117" t="inlineStr">
        <is>
          <t>・このブックの 02_見積書 は下書きです。マスターを変えると表示も変わります。提出済みの内容は PDF・控えを正本にします。</t>
        </is>
      </c>
    </row>
    <row r="36" ht="24" customHeight="1">
      <c r="B36" s="120" t="inlineStr">
        <is>
          <t>注意・制約</t>
        </is>
      </c>
    </row>
    <row r="37">
      <c r="B37" s="117" t="inlineStr">
        <is>
          <t>・01_入力 と 02_見積書 はパスワードなしで保護しています（数式の誤消去を防ぐため。情報を守る機能ではありません）。解除は［校閲］→［シート保護の解除］。</t>
        </is>
      </c>
    </row>
    <row r="38">
      <c r="B38" s="117" t="inlineStr">
        <is>
          <t>・明細の行を挿入・削除しないでください（15行固定）。行数が変わると 01_入力 の上部に警告が出ます。</t>
        </is>
      </c>
    </row>
    <row r="39">
      <c r="B39" s="117" t="inlineStr">
        <is>
          <t>・対応環境：Microsoft 365 版 Excel（Windows／Mac）を想定。TEXTJOIN を使うため Excel 2019 より前では動きません。Web 版・Google スプレッドシートは保証しません。</t>
        </is>
      </c>
    </row>
    <row r="40">
      <c r="B40" s="117" t="inlineStr">
        <is>
          <t>・税率・端数処理・支払条件・有効期限などの取引条件は、各社の実際の条件に合わせて設定してください（テンプレートは判断しません）。</t>
        </is>
      </c>
    </row>
    <row r="41">
      <c r="B41" s="117" t="inlineStr">
        <is>
          <t>・この空欄版には架空データは入っていません。見本はサンプル版（03_QUOTE_SAMPLE）を参照してください。</t>
        </is>
      </c>
    </row>
  </sheetData>
  <hyperlinks>
    <hyperlink ref="D1" location="'01_入力'!A1" display="← 01_入力へ"/>
  </hyperlinks>
  <printOptions horizontalCentered="1"/>
  <pageMargins left="0.4" right="0.4" top="0.5" bottom="0.5" header="0.2" footer="0.2"/>
  <pageSetup orientation="portrait" paperSize="9" fitToHeight="0" fitToWidth="1"/>
  <headerFooter>
    <oddHeader/>
    <oddFooter>&amp;L&amp;8 &amp;A&amp;C&amp;8 &amp;P / &amp;N ページ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セコンドデスク</dc:creator>
  <dc:title>自動反映見積書</dc:title>
  <dc:subject>セコンドデスク 自動反映見積書 v1.0 テンプレート</dc:subject>
  <dcterms:created xsi:type="dcterms:W3CDTF">2026-09-27T01:20:11Z</dcterms:created>
  <dcterms:modified xsi:type="dcterms:W3CDTF">2026-09-27T01:20:11Z</dcterms:modified>
  <cp:lastModifiedBy>セコンドデスク</cp:lastModifiedBy>
  <cp:keywords>セコンドデスク; v1.0; マクロなし</cp:keywords>
</cp:coreProperties>
</file>